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7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mma Fraser\OneDrive - Zero Waste Scotland\Desktop\"/>
    </mc:Choice>
  </mc:AlternateContent>
  <xr:revisionPtr revIDLastSave="0" documentId="8_{DF8EB4C0-E45E-4B78-B2C8-9FA6EBF0CD66}" xr6:coauthVersionLast="47" xr6:coauthVersionMax="47" xr10:uidLastSave="{00000000-0000-0000-0000-000000000000}"/>
  <bookViews>
    <workbookView xWindow="2240" yWindow="2240" windowWidth="14400" windowHeight="7360" firstSheet="2" activeTab="2" xr2:uid="{00000000-000D-0000-FFFF-FFFF00000000}"/>
  </bookViews>
  <sheets>
    <sheet name="Set up" sheetId="1" r:id="rId1"/>
    <sheet name="Data input" sheetId="2" r:id="rId2"/>
    <sheet name="Dashboard Costs" sheetId="6" r:id="rId3"/>
    <sheet name="Dash Volume" sheetId="7" r:id="rId4"/>
    <sheet name="Dash Weight" sheetId="10" r:id="rId5"/>
    <sheet name="Dash Source" sheetId="8" r:id="rId6"/>
    <sheet name="Dash Condition" sheetId="9" r:id="rId7"/>
    <sheet name="Report" sheetId="11" r:id="rId8"/>
    <sheet name="Lists" sheetId="3" r:id="rId9"/>
    <sheet name="Costs" sheetId="4" r:id="rId10"/>
    <sheet name="Calcs" sheetId="5" r:id="rId11"/>
  </sheets>
  <definedNames>
    <definedName name="Aluminium">Lists!$N$61:$N$68</definedName>
    <definedName name="Bituminous_mixtures_containing_coal_tar">Lists!$J$61:$J$66</definedName>
    <definedName name="Bricks">Lists!$C$61:$C$67</definedName>
    <definedName name="Cables">Lists!$S$61:$S$66</definedName>
    <definedName name="Coal_tar_and_tarred_products">Lists!$L$61:$L$66</definedName>
    <definedName name="Concrete">Lists!$B$61:$B$74</definedName>
    <definedName name="Concrete_bricks_tiles_and_ceramics_in_mixtures">Lists!$E$61:$E$71</definedName>
    <definedName name="Copper_bronze_and_brass">Lists!$M$61:$M$66</definedName>
    <definedName name="Dredging_spoil">Lists!$U$61:$U$66</definedName>
    <definedName name="Glass_uncontaminated">Lists!$H$61:$H$70</definedName>
    <definedName name="Gypsum_materials">Lists!$V$61:$V$67</definedName>
    <definedName name="Inert_soil_and_stones">Lists!$T$61:$T$66</definedName>
    <definedName name="Insulation">Lists!$A$61:$A$73</definedName>
    <definedName name="Iron_and_steel">Lists!$P$61:$P$70</definedName>
    <definedName name="Lead">Lists!$O$61:$O$67</definedName>
    <definedName name="Mixed_construction_and_demolition_wastes">Lists!$X$61:$X$88</definedName>
    <definedName name="Mixed_metals">Lists!$R$61:$R$66</definedName>
    <definedName name="Other_bituminous_mixtures">Lists!$K$61:$K$70</definedName>
    <definedName name="Other_Each">Lists!$AH$61:$AH$74</definedName>
    <definedName name="Other_Linear_meter">Lists!$AI$61:$AI$74</definedName>
    <definedName name="Other_Square_meter">Lists!$AJ$61:$AJ$74</definedName>
    <definedName name="Other_Volume_cubic_meter">Lists!$AK$61:$AK$74</definedName>
    <definedName name="Packaging_Glass">Lists!$AE$61:$AE$66</definedName>
    <definedName name="Packaging_Metal">Lists!$AD$61:$AD$66</definedName>
    <definedName name="Packaging_Paint_cans_Metal_Plastic">Lists!$AG$61:$AG$66</definedName>
    <definedName name="Packaging_Paper_and_Card">Lists!$AA$61:$AA$66</definedName>
    <definedName name="Packaging_Plastic">Lists!$AB$61:$AB$66</definedName>
    <definedName name="Packaging_Textiles">Lists!$AF$61:$AF$66</definedName>
    <definedName name="Packaging_wooden">Lists!$AC$61:$AC$66</definedName>
    <definedName name="Paints_and_varnishes_Containing_organic_solvents_or_other_hazardous_substances">Lists!$Y$61:$Y$68</definedName>
    <definedName name="Paints_and_varnishes_Not_containing_organic_solvents_or_other_hazardous_substances">Lists!$Z$61:$Z$68</definedName>
    <definedName name="Plastic_excluding_packaging_waste">Lists!$I$61:$I$68</definedName>
    <definedName name="Tiles_and_ceramics">Lists!$D$61:$D$71</definedName>
    <definedName name="Tin">Lists!$Q$61:$Q$66</definedName>
    <definedName name="Treated_wood_glass_plastic_including_wood_plastic_window_frames">Lists!$G$61:$G$72</definedName>
    <definedName name="Unused_or_unset_cement">Lists!$W$61:$W$66</definedName>
    <definedName name="Wood_untreated">Lists!$F$61:$F$69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5" l="1"/>
  <c r="S4" i="5"/>
  <c r="S5" i="5"/>
  <c r="S6" i="5"/>
  <c r="S7" i="5"/>
  <c r="S2" i="5"/>
  <c r="D102" i="11" l="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70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27" i="11"/>
  <c r="AC61" i="3" l="1"/>
  <c r="A112" i="11" l="1"/>
  <c r="A7" i="8"/>
  <c r="Q3" i="5"/>
  <c r="B112" i="11" s="1"/>
  <c r="N176" i="4"/>
  <c r="M176" i="4"/>
  <c r="L176" i="4"/>
  <c r="F176" i="4"/>
  <c r="B7" i="8" l="1"/>
  <c r="A30" i="5"/>
  <c r="A34" i="10" s="1"/>
  <c r="N30" i="5"/>
  <c r="V63" i="3"/>
  <c r="A175" i="4"/>
  <c r="A176" i="4"/>
  <c r="J176" i="4"/>
  <c r="G176" i="4"/>
  <c r="B34" i="7" l="1"/>
  <c r="B98" i="11"/>
  <c r="A38" i="6"/>
  <c r="A34" i="7"/>
  <c r="A98" i="11"/>
  <c r="A55" i="11"/>
  <c r="O30" i="5"/>
  <c r="K176" i="4"/>
  <c r="AH70" i="3"/>
  <c r="A174" i="4"/>
  <c r="B34" i="10" l="1"/>
  <c r="C98" i="11"/>
  <c r="AG61" i="3"/>
  <c r="AF61" i="3"/>
  <c r="AE61" i="3"/>
  <c r="AD61" i="3"/>
  <c r="AB61" i="3"/>
  <c r="AA61" i="3"/>
  <c r="Z62" i="3"/>
  <c r="Z63" i="3"/>
  <c r="Z61" i="3"/>
  <c r="Y62" i="3"/>
  <c r="Y63" i="3"/>
  <c r="Y61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62" i="3"/>
  <c r="X63" i="3"/>
  <c r="X64" i="3"/>
  <c r="X65" i="3"/>
  <c r="X66" i="3"/>
  <c r="X67" i="3"/>
  <c r="X68" i="3"/>
  <c r="X69" i="3"/>
  <c r="X70" i="3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X61" i="3"/>
  <c r="W61" i="3"/>
  <c r="V62" i="3"/>
  <c r="V61" i="3"/>
  <c r="U61" i="3"/>
  <c r="T61" i="3"/>
  <c r="S61" i="3"/>
  <c r="R61" i="3"/>
  <c r="Q61" i="3"/>
  <c r="P65" i="3"/>
  <c r="P64" i="3"/>
  <c r="P62" i="3"/>
  <c r="P63" i="3"/>
  <c r="P61" i="3"/>
  <c r="O62" i="3"/>
  <c r="O61" i="3"/>
  <c r="N63" i="3"/>
  <c r="N62" i="3"/>
  <c r="N61" i="3"/>
  <c r="M61" i="3"/>
  <c r="L61" i="3"/>
  <c r="K62" i="3"/>
  <c r="K63" i="3"/>
  <c r="K64" i="3"/>
  <c r="K65" i="3"/>
  <c r="K61" i="3"/>
  <c r="J61" i="3"/>
  <c r="I62" i="3"/>
  <c r="I63" i="3"/>
  <c r="I61" i="3"/>
  <c r="H65" i="3"/>
  <c r="H62" i="3"/>
  <c r="H63" i="3"/>
  <c r="H64" i="3"/>
  <c r="H61" i="3"/>
  <c r="G62" i="3"/>
  <c r="G63" i="3"/>
  <c r="G64" i="3"/>
  <c r="G65" i="3"/>
  <c r="G66" i="3"/>
  <c r="G67" i="3"/>
  <c r="G61" i="3"/>
  <c r="F64" i="3"/>
  <c r="F62" i="3"/>
  <c r="F63" i="3"/>
  <c r="F61" i="3"/>
  <c r="E66" i="3"/>
  <c r="E62" i="3"/>
  <c r="E63" i="3"/>
  <c r="E64" i="3"/>
  <c r="E65" i="3"/>
  <c r="E61" i="3"/>
  <c r="D62" i="3"/>
  <c r="D63" i="3"/>
  <c r="D64" i="3"/>
  <c r="D65" i="3"/>
  <c r="D66" i="3"/>
  <c r="D61" i="3"/>
  <c r="C62" i="3"/>
  <c r="C61" i="3"/>
  <c r="B68" i="3"/>
  <c r="B69" i="3"/>
  <c r="B67" i="3"/>
  <c r="B62" i="3"/>
  <c r="B63" i="3"/>
  <c r="B64" i="3"/>
  <c r="B65" i="3"/>
  <c r="B66" i="3"/>
  <c r="B61" i="3"/>
  <c r="A64" i="3"/>
  <c r="A65" i="3"/>
  <c r="A66" i="3"/>
  <c r="A67" i="3"/>
  <c r="A68" i="3"/>
  <c r="A62" i="3"/>
  <c r="A63" i="3"/>
  <c r="A61" i="3"/>
  <c r="A140" i="11" l="1"/>
  <c r="A141" i="11"/>
  <c r="A137" i="11"/>
  <c r="A138" i="11"/>
  <c r="A139" i="11"/>
  <c r="A136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11" i="11"/>
  <c r="C17" i="11"/>
  <c r="D17" i="11"/>
  <c r="F17" i="11"/>
  <c r="F20" i="11"/>
  <c r="A23" i="11"/>
  <c r="A18" i="11"/>
  <c r="A19" i="11"/>
  <c r="A20" i="11"/>
  <c r="A21" i="11"/>
  <c r="A22" i="11"/>
  <c r="A17" i="11"/>
  <c r="B14" i="11"/>
  <c r="A14" i="11" l="1"/>
  <c r="A13" i="11"/>
  <c r="B8" i="11"/>
  <c r="B9" i="11"/>
  <c r="B10" i="11"/>
  <c r="B11" i="11"/>
  <c r="B7" i="11"/>
  <c r="A8" i="11"/>
  <c r="A9" i="11"/>
  <c r="A10" i="11"/>
  <c r="A11" i="11"/>
  <c r="A7" i="11"/>
  <c r="A4" i="11"/>
  <c r="A5" i="11"/>
  <c r="A3" i="11"/>
  <c r="B4" i="11"/>
  <c r="B5" i="11"/>
  <c r="B3" i="11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Q4" i="5" l="1"/>
  <c r="B113" i="11" s="1"/>
  <c r="Q5" i="5"/>
  <c r="B114" i="11" s="1"/>
  <c r="Q6" i="5"/>
  <c r="B115" i="11" s="1"/>
  <c r="Q7" i="5"/>
  <c r="B116" i="11" s="1"/>
  <c r="Q8" i="5"/>
  <c r="B117" i="11" s="1"/>
  <c r="Q9" i="5"/>
  <c r="B118" i="11" s="1"/>
  <c r="Q12" i="5"/>
  <c r="Q13" i="5"/>
  <c r="Q14" i="5"/>
  <c r="Q16" i="5"/>
  <c r="Q17" i="5"/>
  <c r="Q18" i="5"/>
  <c r="Q19" i="5"/>
  <c r="Q20" i="5"/>
  <c r="Q21" i="5"/>
  <c r="Q22" i="5"/>
  <c r="Q2" i="5"/>
  <c r="B131" i="11" l="1"/>
  <c r="B26" i="8"/>
  <c r="B123" i="11"/>
  <c r="B18" i="8"/>
  <c r="B130" i="11"/>
  <c r="B25" i="8"/>
  <c r="B126" i="11"/>
  <c r="B21" i="8"/>
  <c r="B122" i="11"/>
  <c r="B17" i="8"/>
  <c r="B129" i="11"/>
  <c r="B24" i="8"/>
  <c r="B125" i="11"/>
  <c r="B20" i="8"/>
  <c r="B121" i="11"/>
  <c r="B16" i="8"/>
  <c r="B111" i="11"/>
  <c r="B128" i="11"/>
  <c r="B23" i="8"/>
  <c r="B127" i="11"/>
  <c r="B22" i="8"/>
  <c r="J173" i="4"/>
  <c r="F173" i="4"/>
  <c r="G173" i="4" s="1"/>
  <c r="A173" i="4"/>
  <c r="K173" i="4" l="1"/>
  <c r="N36" i="5" l="1"/>
  <c r="N37" i="5"/>
  <c r="N38" i="5"/>
  <c r="A36" i="5"/>
  <c r="A37" i="5"/>
  <c r="A38" i="5"/>
  <c r="AH61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3" i="2"/>
  <c r="AK62" i="3"/>
  <c r="AK63" i="3"/>
  <c r="AK64" i="3"/>
  <c r="AK65" i="3"/>
  <c r="AK66" i="3"/>
  <c r="AK67" i="3"/>
  <c r="AK68" i="3"/>
  <c r="AK69" i="3"/>
  <c r="AK61" i="3"/>
  <c r="AJ62" i="3"/>
  <c r="AJ63" i="3"/>
  <c r="AJ64" i="3"/>
  <c r="AJ65" i="3"/>
  <c r="AJ66" i="3"/>
  <c r="AJ67" i="3"/>
  <c r="AJ68" i="3"/>
  <c r="AJ69" i="3"/>
  <c r="AJ61" i="3"/>
  <c r="AI62" i="3"/>
  <c r="AI63" i="3"/>
  <c r="AI64" i="3"/>
  <c r="AI65" i="3"/>
  <c r="AI66" i="3"/>
  <c r="AI67" i="3"/>
  <c r="AI68" i="3"/>
  <c r="AI69" i="3"/>
  <c r="AI61" i="3"/>
  <c r="AH69" i="3"/>
  <c r="AH62" i="3"/>
  <c r="AH63" i="3"/>
  <c r="AH64" i="3"/>
  <c r="AH65" i="3"/>
  <c r="AH66" i="3"/>
  <c r="AH67" i="3"/>
  <c r="AH68" i="3"/>
  <c r="F30" i="4"/>
  <c r="G30" i="4" s="1"/>
  <c r="J30" i="4"/>
  <c r="L30" i="4"/>
  <c r="M30" i="4"/>
  <c r="N30" i="4"/>
  <c r="F31" i="4"/>
  <c r="G31" i="4" s="1"/>
  <c r="J31" i="4"/>
  <c r="L31" i="4"/>
  <c r="M31" i="4"/>
  <c r="N31" i="4"/>
  <c r="F32" i="4"/>
  <c r="J32" i="4"/>
  <c r="L32" i="4"/>
  <c r="M32" i="4"/>
  <c r="N32" i="4"/>
  <c r="F33" i="4"/>
  <c r="G33" i="4" s="1"/>
  <c r="J33" i="4"/>
  <c r="L33" i="4"/>
  <c r="M33" i="4"/>
  <c r="N33" i="4"/>
  <c r="F34" i="4"/>
  <c r="G34" i="4" s="1"/>
  <c r="J34" i="4"/>
  <c r="L34" i="4"/>
  <c r="M34" i="4"/>
  <c r="N34" i="4"/>
  <c r="F35" i="4"/>
  <c r="G35" i="4" s="1"/>
  <c r="J35" i="4"/>
  <c r="L35" i="4"/>
  <c r="M35" i="4"/>
  <c r="N35" i="4"/>
  <c r="F36" i="4"/>
  <c r="J36" i="4"/>
  <c r="L36" i="4"/>
  <c r="M36" i="4"/>
  <c r="N36" i="4"/>
  <c r="F37" i="4"/>
  <c r="G37" i="4" s="1"/>
  <c r="J37" i="4"/>
  <c r="L37" i="4"/>
  <c r="M37" i="4"/>
  <c r="N37" i="4"/>
  <c r="J29" i="4"/>
  <c r="F29" i="4"/>
  <c r="G29" i="4" s="1"/>
  <c r="F21" i="4"/>
  <c r="G21" i="4" s="1"/>
  <c r="J21" i="4"/>
  <c r="L21" i="4"/>
  <c r="M21" i="4"/>
  <c r="N21" i="4"/>
  <c r="F22" i="4"/>
  <c r="G22" i="4" s="1"/>
  <c r="J22" i="4"/>
  <c r="L22" i="4"/>
  <c r="M22" i="4"/>
  <c r="N22" i="4"/>
  <c r="F23" i="4"/>
  <c r="G23" i="4" s="1"/>
  <c r="J23" i="4"/>
  <c r="L23" i="4"/>
  <c r="M23" i="4"/>
  <c r="N23" i="4"/>
  <c r="F24" i="4"/>
  <c r="G24" i="4" s="1"/>
  <c r="J24" i="4"/>
  <c r="L24" i="4"/>
  <c r="M24" i="4"/>
  <c r="N24" i="4"/>
  <c r="F25" i="4"/>
  <c r="G25" i="4" s="1"/>
  <c r="J25" i="4"/>
  <c r="L25" i="4"/>
  <c r="M25" i="4"/>
  <c r="N25" i="4"/>
  <c r="F26" i="4"/>
  <c r="G26" i="4" s="1"/>
  <c r="J26" i="4"/>
  <c r="L26" i="4"/>
  <c r="M26" i="4"/>
  <c r="N26" i="4"/>
  <c r="F27" i="4"/>
  <c r="K27" i="4" s="1"/>
  <c r="J27" i="4"/>
  <c r="L27" i="4"/>
  <c r="M27" i="4"/>
  <c r="N27" i="4"/>
  <c r="F28" i="4"/>
  <c r="G28" i="4" s="1"/>
  <c r="J28" i="4"/>
  <c r="L28" i="4"/>
  <c r="M28" i="4"/>
  <c r="N28" i="4"/>
  <c r="J20" i="4"/>
  <c r="F12" i="4"/>
  <c r="G12" i="4" s="1"/>
  <c r="J12" i="4"/>
  <c r="L12" i="4"/>
  <c r="M12" i="4"/>
  <c r="N12" i="4"/>
  <c r="F13" i="4"/>
  <c r="G13" i="4" s="1"/>
  <c r="J13" i="4"/>
  <c r="L13" i="4"/>
  <c r="M13" i="4"/>
  <c r="N13" i="4"/>
  <c r="F14" i="4"/>
  <c r="G14" i="4" s="1"/>
  <c r="J14" i="4"/>
  <c r="L14" i="4"/>
  <c r="M14" i="4"/>
  <c r="N14" i="4"/>
  <c r="F15" i="4"/>
  <c r="G15" i="4" s="1"/>
  <c r="J15" i="4"/>
  <c r="L15" i="4"/>
  <c r="M15" i="4"/>
  <c r="N15" i="4"/>
  <c r="F16" i="4"/>
  <c r="G16" i="4" s="1"/>
  <c r="J16" i="4"/>
  <c r="L16" i="4"/>
  <c r="M16" i="4"/>
  <c r="N16" i="4"/>
  <c r="F17" i="4"/>
  <c r="G17" i="4" s="1"/>
  <c r="J17" i="4"/>
  <c r="L17" i="4"/>
  <c r="M17" i="4"/>
  <c r="N17" i="4"/>
  <c r="F18" i="4"/>
  <c r="G18" i="4" s="1"/>
  <c r="J18" i="4"/>
  <c r="L18" i="4"/>
  <c r="M18" i="4"/>
  <c r="N18" i="4"/>
  <c r="F19" i="4"/>
  <c r="G19" i="4" s="1"/>
  <c r="J19" i="4"/>
  <c r="L19" i="4"/>
  <c r="M19" i="4"/>
  <c r="N19" i="4"/>
  <c r="N11" i="4"/>
  <c r="M11" i="4"/>
  <c r="L11" i="4"/>
  <c r="J11" i="4"/>
  <c r="F11" i="4"/>
  <c r="G11" i="4" s="1"/>
  <c r="N4" i="4"/>
  <c r="N5" i="4"/>
  <c r="N6" i="4"/>
  <c r="N7" i="4"/>
  <c r="N8" i="4"/>
  <c r="N9" i="4"/>
  <c r="N10" i="4"/>
  <c r="M4" i="4"/>
  <c r="M5" i="4"/>
  <c r="M6" i="4"/>
  <c r="M7" i="4"/>
  <c r="M8" i="4"/>
  <c r="M9" i="4"/>
  <c r="M10" i="4"/>
  <c r="L4" i="4"/>
  <c r="L5" i="4"/>
  <c r="L6" i="4"/>
  <c r="L7" i="4"/>
  <c r="L8" i="4"/>
  <c r="L9" i="4"/>
  <c r="L10" i="4"/>
  <c r="J3" i="4"/>
  <c r="J4" i="4"/>
  <c r="J5" i="4"/>
  <c r="J6" i="4"/>
  <c r="J7" i="4"/>
  <c r="J8" i="4"/>
  <c r="J9" i="4"/>
  <c r="J10" i="4"/>
  <c r="F3" i="4"/>
  <c r="K3" i="4" s="1"/>
  <c r="F4" i="4"/>
  <c r="K4" i="4" s="1"/>
  <c r="F5" i="4"/>
  <c r="K5" i="4" s="1"/>
  <c r="F6" i="4"/>
  <c r="K6" i="4" s="1"/>
  <c r="F7" i="4"/>
  <c r="K7" i="4" s="1"/>
  <c r="F8" i="4"/>
  <c r="K8" i="4" s="1"/>
  <c r="F9" i="4"/>
  <c r="K9" i="4" s="1"/>
  <c r="F10" i="4"/>
  <c r="K10" i="4" s="1"/>
  <c r="A30" i="4"/>
  <c r="A31" i="4"/>
  <c r="A32" i="4"/>
  <c r="A33" i="4"/>
  <c r="A34" i="4"/>
  <c r="A35" i="4"/>
  <c r="A36" i="4"/>
  <c r="A37" i="4"/>
  <c r="A29" i="4"/>
  <c r="A21" i="4"/>
  <c r="A22" i="4"/>
  <c r="A23" i="4"/>
  <c r="A24" i="4"/>
  <c r="A25" i="4"/>
  <c r="A26" i="4"/>
  <c r="A27" i="4"/>
  <c r="A28" i="4"/>
  <c r="A20" i="4"/>
  <c r="A12" i="4"/>
  <c r="A13" i="4"/>
  <c r="A14" i="4"/>
  <c r="A15" i="4"/>
  <c r="A16" i="4"/>
  <c r="A17" i="4"/>
  <c r="A18" i="4"/>
  <c r="A19" i="4"/>
  <c r="A11" i="4"/>
  <c r="A7" i="4"/>
  <c r="A8" i="4"/>
  <c r="A9" i="4"/>
  <c r="A10" i="4"/>
  <c r="A3" i="4"/>
  <c r="A4" i="4"/>
  <c r="A5" i="4"/>
  <c r="A6" i="4"/>
  <c r="A2" i="4"/>
  <c r="K32" i="4" l="1"/>
  <c r="K36" i="4"/>
  <c r="O38" i="5"/>
  <c r="B106" i="11"/>
  <c r="O37" i="5"/>
  <c r="B105" i="11"/>
  <c r="B40" i="7"/>
  <c r="B104" i="11"/>
  <c r="A42" i="10"/>
  <c r="A63" i="11"/>
  <c r="A106" i="11"/>
  <c r="A40" i="10"/>
  <c r="A104" i="11"/>
  <c r="A61" i="11"/>
  <c r="A41" i="7"/>
  <c r="A105" i="11"/>
  <c r="A62" i="11"/>
  <c r="A45" i="6"/>
  <c r="A42" i="7"/>
  <c r="A41" i="10"/>
  <c r="B41" i="7"/>
  <c r="O36" i="5"/>
  <c r="B42" i="7"/>
  <c r="A40" i="7"/>
  <c r="A46" i="6"/>
  <c r="A44" i="6"/>
  <c r="K16" i="4"/>
  <c r="K19" i="4"/>
  <c r="K37" i="4"/>
  <c r="K11" i="4"/>
  <c r="K18" i="4"/>
  <c r="K24" i="4"/>
  <c r="K33" i="4"/>
  <c r="K30" i="4"/>
  <c r="K15" i="4"/>
  <c r="G27" i="4"/>
  <c r="G36" i="4"/>
  <c r="G7" i="4"/>
  <c r="G3" i="4"/>
  <c r="K12" i="4"/>
  <c r="K28" i="4"/>
  <c r="K21" i="4"/>
  <c r="K34" i="4"/>
  <c r="G9" i="4"/>
  <c r="G5" i="4"/>
  <c r="G8" i="4"/>
  <c r="G4" i="4"/>
  <c r="G10" i="4"/>
  <c r="G6" i="4"/>
  <c r="K14" i="4"/>
  <c r="K25" i="4"/>
  <c r="K23" i="4"/>
  <c r="G32" i="4"/>
  <c r="K31" i="4"/>
  <c r="K35" i="4"/>
  <c r="K29" i="4"/>
  <c r="K26" i="4"/>
  <c r="K22" i="4"/>
  <c r="K17" i="4"/>
  <c r="K13" i="4"/>
  <c r="B40" i="10" l="1"/>
  <c r="C104" i="11"/>
  <c r="B41" i="10"/>
  <c r="C105" i="11"/>
  <c r="B42" i="10"/>
  <c r="C106" i="11"/>
  <c r="F114" i="4"/>
  <c r="F70" i="4" l="1"/>
  <c r="C4" i="10" l="1"/>
  <c r="B4" i="10"/>
  <c r="B3" i="10"/>
  <c r="B2" i="10"/>
  <c r="B1" i="10"/>
  <c r="Z12" i="4" l="1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4" i="4"/>
  <c r="Z5" i="4"/>
  <c r="Z6" i="4"/>
  <c r="Z7" i="4"/>
  <c r="Z8" i="4"/>
  <c r="Z9" i="4"/>
  <c r="Z10" i="4"/>
  <c r="Z11" i="4"/>
  <c r="U10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4" i="4"/>
  <c r="U6" i="4"/>
  <c r="U7" i="4"/>
  <c r="U9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4" i="4"/>
  <c r="S5" i="4"/>
  <c r="S6" i="4"/>
  <c r="S7" i="4"/>
  <c r="S8" i="4"/>
  <c r="S9" i="4"/>
  <c r="S10" i="4"/>
  <c r="S11" i="4"/>
  <c r="S12" i="4"/>
  <c r="S13" i="4"/>
  <c r="S14" i="4"/>
  <c r="S15" i="4"/>
  <c r="S3" i="4"/>
  <c r="B22" i="1" l="1"/>
  <c r="B13" i="11" s="1"/>
  <c r="C4" i="9" l="1"/>
  <c r="B4" i="9"/>
  <c r="B3" i="9"/>
  <c r="B2" i="9"/>
  <c r="B1" i="9"/>
  <c r="C4" i="8"/>
  <c r="B4" i="8"/>
  <c r="B3" i="8"/>
  <c r="B2" i="8"/>
  <c r="B1" i="8"/>
  <c r="C4" i="7"/>
  <c r="B4" i="7"/>
  <c r="B3" i="7"/>
  <c r="B2" i="7"/>
  <c r="B1" i="7"/>
  <c r="I4" i="6"/>
  <c r="H4" i="6"/>
  <c r="F2" i="4"/>
  <c r="A8" i="8" l="1"/>
  <c r="A9" i="8"/>
  <c r="A10" i="8"/>
  <c r="A11" i="8"/>
  <c r="A12" i="8"/>
  <c r="A13" i="8"/>
  <c r="H3" i="6"/>
  <c r="H2" i="6"/>
  <c r="H1" i="6"/>
  <c r="AO2" i="4" l="1"/>
  <c r="AP2" i="4" s="1"/>
  <c r="A172" i="4" l="1"/>
  <c r="F119" i="4"/>
  <c r="G119" i="4" s="1"/>
  <c r="F118" i="4"/>
  <c r="G118" i="4" s="1"/>
  <c r="H115" i="4"/>
  <c r="N172" i="4"/>
  <c r="M172" i="4"/>
  <c r="L172" i="4"/>
  <c r="J172" i="4"/>
  <c r="F172" i="4"/>
  <c r="F112" i="4"/>
  <c r="G112" i="4" s="1"/>
  <c r="F111" i="4"/>
  <c r="H111" i="4"/>
  <c r="E111" i="4"/>
  <c r="F113" i="4"/>
  <c r="G113" i="4" s="1"/>
  <c r="N162" i="4"/>
  <c r="N163" i="4"/>
  <c r="N164" i="4"/>
  <c r="N165" i="4"/>
  <c r="N166" i="4"/>
  <c r="N167" i="4"/>
  <c r="N168" i="4"/>
  <c r="N169" i="4"/>
  <c r="N170" i="4"/>
  <c r="N171" i="4"/>
  <c r="M162" i="4"/>
  <c r="M163" i="4"/>
  <c r="M164" i="4"/>
  <c r="M165" i="4"/>
  <c r="M166" i="4"/>
  <c r="M167" i="4"/>
  <c r="M168" i="4"/>
  <c r="M169" i="4"/>
  <c r="M170" i="4"/>
  <c r="M171" i="4"/>
  <c r="L162" i="4"/>
  <c r="L163" i="4"/>
  <c r="L164" i="4"/>
  <c r="L165" i="4"/>
  <c r="L166" i="4"/>
  <c r="L167" i="4"/>
  <c r="L168" i="4"/>
  <c r="L169" i="4"/>
  <c r="L170" i="4"/>
  <c r="L171" i="4"/>
  <c r="L160" i="4"/>
  <c r="M160" i="4"/>
  <c r="N160" i="4"/>
  <c r="O81" i="4"/>
  <c r="P81" i="4"/>
  <c r="Q81" i="4"/>
  <c r="R81" i="4"/>
  <c r="T81" i="4"/>
  <c r="J161" i="4"/>
  <c r="U11" i="4" s="1"/>
  <c r="J162" i="4"/>
  <c r="J163" i="4"/>
  <c r="J164" i="4"/>
  <c r="J165" i="4"/>
  <c r="J166" i="4"/>
  <c r="J167" i="4"/>
  <c r="J168" i="4"/>
  <c r="J169" i="4"/>
  <c r="J170" i="4"/>
  <c r="J171" i="4"/>
  <c r="F171" i="4"/>
  <c r="G171" i="4" s="1"/>
  <c r="A171" i="4"/>
  <c r="A170" i="4"/>
  <c r="F170" i="4"/>
  <c r="G170" i="4" s="1"/>
  <c r="F169" i="4"/>
  <c r="G169" i="4" s="1"/>
  <c r="F168" i="4"/>
  <c r="F167" i="4"/>
  <c r="G167" i="4" s="1"/>
  <c r="F166" i="4"/>
  <c r="G166" i="4" s="1"/>
  <c r="F165" i="4"/>
  <c r="G165" i="4" s="1"/>
  <c r="F164" i="4"/>
  <c r="F163" i="4"/>
  <c r="G163" i="4" s="1"/>
  <c r="F162" i="4"/>
  <c r="G162" i="4" s="1"/>
  <c r="F117" i="4"/>
  <c r="G117" i="4" s="1"/>
  <c r="G114" i="4"/>
  <c r="K164" i="4" l="1"/>
  <c r="K168" i="4"/>
  <c r="G111" i="4"/>
  <c r="K172" i="4"/>
  <c r="G172" i="4"/>
  <c r="K163" i="4"/>
  <c r="K171" i="4"/>
  <c r="K170" i="4"/>
  <c r="K162" i="4"/>
  <c r="K167" i="4"/>
  <c r="K166" i="4"/>
  <c r="G168" i="4"/>
  <c r="G164" i="4"/>
  <c r="K169" i="4"/>
  <c r="K165" i="4"/>
  <c r="A169" i="4" l="1"/>
  <c r="A168" i="4"/>
  <c r="A167" i="4"/>
  <c r="A166" i="4"/>
  <c r="A165" i="4"/>
  <c r="A164" i="4"/>
  <c r="A162" i="4"/>
  <c r="A163" i="4"/>
  <c r="A161" i="4"/>
  <c r="A7" i="9" l="1"/>
  <c r="A8" i="9"/>
  <c r="A9" i="9"/>
  <c r="A10" i="9"/>
  <c r="A11" i="9"/>
  <c r="A6" i="9"/>
  <c r="A6" i="8"/>
  <c r="B9" i="8"/>
  <c r="B10" i="8"/>
  <c r="B13" i="8"/>
  <c r="B6" i="8"/>
  <c r="N4" i="5"/>
  <c r="B72" i="11" s="1"/>
  <c r="N5" i="5"/>
  <c r="B73" i="11" s="1"/>
  <c r="N9" i="5"/>
  <c r="B77" i="11" s="1"/>
  <c r="N10" i="5"/>
  <c r="B78" i="11" s="1"/>
  <c r="N11" i="5"/>
  <c r="B79" i="11" s="1"/>
  <c r="N12" i="5"/>
  <c r="B80" i="11" s="1"/>
  <c r="N13" i="5"/>
  <c r="B81" i="11" s="1"/>
  <c r="N14" i="5"/>
  <c r="B82" i="11" s="1"/>
  <c r="N15" i="5"/>
  <c r="B83" i="11" s="1"/>
  <c r="N16" i="5"/>
  <c r="B84" i="11" s="1"/>
  <c r="N18" i="5"/>
  <c r="B86" i="11" s="1"/>
  <c r="N19" i="5"/>
  <c r="B87" i="11" s="1"/>
  <c r="N21" i="5"/>
  <c r="B89" i="11" s="1"/>
  <c r="N22" i="5"/>
  <c r="B90" i="11" s="1"/>
  <c r="N24" i="5"/>
  <c r="B92" i="11" s="1"/>
  <c r="N26" i="5"/>
  <c r="B94" i="11" s="1"/>
  <c r="N27" i="5"/>
  <c r="B95" i="11" s="1"/>
  <c r="N28" i="5"/>
  <c r="B96" i="11" s="1"/>
  <c r="N31" i="5"/>
  <c r="B99" i="11" s="1"/>
  <c r="N32" i="5"/>
  <c r="B100" i="11" s="1"/>
  <c r="N33" i="5"/>
  <c r="B101" i="11" s="1"/>
  <c r="N34" i="5"/>
  <c r="B102" i="11" s="1"/>
  <c r="N82" i="4"/>
  <c r="N83" i="4"/>
  <c r="N85" i="4"/>
  <c r="N86" i="4"/>
  <c r="N87" i="4"/>
  <c r="N89" i="4"/>
  <c r="N90" i="4"/>
  <c r="N91" i="4"/>
  <c r="N93" i="4"/>
  <c r="N94" i="4"/>
  <c r="N95" i="4"/>
  <c r="N96" i="4"/>
  <c r="N97" i="4"/>
  <c r="N98" i="4"/>
  <c r="N99" i="4"/>
  <c r="N100" i="4"/>
  <c r="N101" i="4"/>
  <c r="N102" i="4"/>
  <c r="N103" i="4"/>
  <c r="N104" i="4"/>
  <c r="N106" i="4"/>
  <c r="N107" i="4"/>
  <c r="N108" i="4"/>
  <c r="N109" i="4"/>
  <c r="N110" i="4"/>
  <c r="N111" i="4"/>
  <c r="N112" i="4"/>
  <c r="N114" i="4"/>
  <c r="N115" i="4"/>
  <c r="N116" i="4"/>
  <c r="N118" i="4"/>
  <c r="N119" i="4"/>
  <c r="N121" i="4"/>
  <c r="N122" i="4"/>
  <c r="N123" i="4"/>
  <c r="N124" i="4"/>
  <c r="N125" i="4"/>
  <c r="N149" i="4"/>
  <c r="N150" i="4"/>
  <c r="N151" i="4"/>
  <c r="N153" i="4"/>
  <c r="N154" i="4"/>
  <c r="N155" i="4"/>
  <c r="N157" i="4"/>
  <c r="N158" i="4"/>
  <c r="N159" i="4"/>
  <c r="N64" i="4"/>
  <c r="N66" i="4"/>
  <c r="N67" i="4"/>
  <c r="N68" i="4"/>
  <c r="N69" i="4"/>
  <c r="N70" i="4"/>
  <c r="N72" i="4"/>
  <c r="N73" i="4"/>
  <c r="N74" i="4"/>
  <c r="N75" i="4"/>
  <c r="N77" i="4"/>
  <c r="N78" i="4"/>
  <c r="N79" i="4"/>
  <c r="N80" i="4"/>
  <c r="N81" i="4"/>
  <c r="M78" i="4"/>
  <c r="M79" i="4"/>
  <c r="M80" i="4"/>
  <c r="M81" i="4"/>
  <c r="M82" i="4"/>
  <c r="M83" i="4"/>
  <c r="M85" i="4"/>
  <c r="M86" i="4"/>
  <c r="M87" i="4"/>
  <c r="M89" i="4"/>
  <c r="M90" i="4"/>
  <c r="M91" i="4"/>
  <c r="M93" i="4"/>
  <c r="M94" i="4"/>
  <c r="M95" i="4"/>
  <c r="M96" i="4"/>
  <c r="M97" i="4"/>
  <c r="M98" i="4"/>
  <c r="M99" i="4"/>
  <c r="M100" i="4"/>
  <c r="M101" i="4"/>
  <c r="M102" i="4"/>
  <c r="M103" i="4"/>
  <c r="M104" i="4"/>
  <c r="M106" i="4"/>
  <c r="M107" i="4"/>
  <c r="M108" i="4"/>
  <c r="M109" i="4"/>
  <c r="M110" i="4"/>
  <c r="M111" i="4"/>
  <c r="M112" i="4"/>
  <c r="M114" i="4"/>
  <c r="M115" i="4"/>
  <c r="M116" i="4"/>
  <c r="M118" i="4"/>
  <c r="M119" i="4"/>
  <c r="M121" i="4"/>
  <c r="M122" i="4"/>
  <c r="M123" i="4"/>
  <c r="M124" i="4"/>
  <c r="M125" i="4"/>
  <c r="M149" i="4"/>
  <c r="M150" i="4"/>
  <c r="M151" i="4"/>
  <c r="M153" i="4"/>
  <c r="M154" i="4"/>
  <c r="M155" i="4"/>
  <c r="M157" i="4"/>
  <c r="M158" i="4"/>
  <c r="M159" i="4"/>
  <c r="M64" i="4"/>
  <c r="M66" i="4"/>
  <c r="M67" i="4"/>
  <c r="M68" i="4"/>
  <c r="M69" i="4"/>
  <c r="M70" i="4"/>
  <c r="M72" i="4"/>
  <c r="M73" i="4"/>
  <c r="M74" i="4"/>
  <c r="M75" i="4"/>
  <c r="M77" i="4"/>
  <c r="T12" i="4"/>
  <c r="T13" i="4"/>
  <c r="AA13" i="4" s="1"/>
  <c r="T14" i="4"/>
  <c r="T15" i="4"/>
  <c r="V15" i="4" s="1"/>
  <c r="Y15" i="4" s="1"/>
  <c r="T16" i="4"/>
  <c r="V16" i="4" s="1"/>
  <c r="Y16" i="4" s="1"/>
  <c r="T17" i="4"/>
  <c r="AA17" i="4" s="1"/>
  <c r="T18" i="4"/>
  <c r="AA18" i="4" s="1"/>
  <c r="T19" i="4"/>
  <c r="V19" i="4" s="1"/>
  <c r="Y19" i="4" s="1"/>
  <c r="T20" i="4"/>
  <c r="T21" i="4"/>
  <c r="AA21" i="4" s="1"/>
  <c r="T22" i="4"/>
  <c r="T23" i="4"/>
  <c r="V23" i="4" s="1"/>
  <c r="Y23" i="4" s="1"/>
  <c r="T24" i="4"/>
  <c r="T25" i="4"/>
  <c r="AA25" i="4" s="1"/>
  <c r="T26" i="4"/>
  <c r="AA26" i="4" s="1"/>
  <c r="T27" i="4"/>
  <c r="T28" i="4"/>
  <c r="T29" i="4"/>
  <c r="AA29" i="4" s="1"/>
  <c r="T30" i="4"/>
  <c r="T31" i="4"/>
  <c r="V31" i="4" s="1"/>
  <c r="Y31" i="4" s="1"/>
  <c r="T32" i="4"/>
  <c r="T33" i="4"/>
  <c r="AA33" i="4" s="1"/>
  <c r="T34" i="4"/>
  <c r="AA34" i="4" s="1"/>
  <c r="T35" i="4"/>
  <c r="V35" i="4" s="1"/>
  <c r="Y35" i="4" s="1"/>
  <c r="T36" i="4"/>
  <c r="V36" i="4" s="1"/>
  <c r="Y36" i="4" s="1"/>
  <c r="T37" i="4"/>
  <c r="AA37" i="4" s="1"/>
  <c r="T38" i="4"/>
  <c r="T39" i="4"/>
  <c r="V39" i="4" s="1"/>
  <c r="Y39" i="4" s="1"/>
  <c r="T40" i="4"/>
  <c r="T41" i="4"/>
  <c r="AA41" i="4" s="1"/>
  <c r="T42" i="4"/>
  <c r="AA42" i="4" s="1"/>
  <c r="T43" i="4"/>
  <c r="V43" i="4" s="1"/>
  <c r="Y43" i="4" s="1"/>
  <c r="T44" i="4"/>
  <c r="T45" i="4"/>
  <c r="AA45" i="4" s="1"/>
  <c r="T46" i="4"/>
  <c r="T47" i="4"/>
  <c r="V47" i="4" s="1"/>
  <c r="Y47" i="4" s="1"/>
  <c r="T48" i="4"/>
  <c r="V48" i="4" s="1"/>
  <c r="Y48" i="4" s="1"/>
  <c r="T49" i="4"/>
  <c r="AA49" i="4" s="1"/>
  <c r="T50" i="4"/>
  <c r="AA50" i="4" s="1"/>
  <c r="T51" i="4"/>
  <c r="V51" i="4" s="1"/>
  <c r="Y51" i="4" s="1"/>
  <c r="T52" i="4"/>
  <c r="T53" i="4"/>
  <c r="AA53" i="4" s="1"/>
  <c r="T54" i="4"/>
  <c r="T55" i="4"/>
  <c r="V55" i="4" s="1"/>
  <c r="Y55" i="4" s="1"/>
  <c r="T56" i="4"/>
  <c r="T57" i="4"/>
  <c r="AA57" i="4" s="1"/>
  <c r="T58" i="4"/>
  <c r="AA58" i="4" s="1"/>
  <c r="T59" i="4"/>
  <c r="V59" i="4" s="1"/>
  <c r="Y59" i="4" s="1"/>
  <c r="T60" i="4"/>
  <c r="T61" i="4"/>
  <c r="AA61" i="4" s="1"/>
  <c r="T62" i="4"/>
  <c r="T63" i="4"/>
  <c r="V63" i="4" s="1"/>
  <c r="Y63" i="4" s="1"/>
  <c r="T64" i="4"/>
  <c r="T65" i="4"/>
  <c r="AA65" i="4" s="1"/>
  <c r="T66" i="4"/>
  <c r="AA66" i="4" s="1"/>
  <c r="T67" i="4"/>
  <c r="T68" i="4"/>
  <c r="V68" i="4" s="1"/>
  <c r="Y68" i="4" s="1"/>
  <c r="T69" i="4"/>
  <c r="AA69" i="4" s="1"/>
  <c r="T70" i="4"/>
  <c r="T71" i="4"/>
  <c r="V71" i="4" s="1"/>
  <c r="Y71" i="4" s="1"/>
  <c r="T72" i="4"/>
  <c r="T73" i="4"/>
  <c r="AA73" i="4" s="1"/>
  <c r="T74" i="4"/>
  <c r="AA74" i="4" s="1"/>
  <c r="T75" i="4"/>
  <c r="V75" i="4" s="1"/>
  <c r="Y75" i="4" s="1"/>
  <c r="T76" i="4"/>
  <c r="T77" i="4"/>
  <c r="AA77" i="4" s="1"/>
  <c r="T78" i="4"/>
  <c r="T79" i="4"/>
  <c r="V79" i="4" s="1"/>
  <c r="Y79" i="4" s="1"/>
  <c r="T80" i="4"/>
  <c r="V80" i="4" s="1"/>
  <c r="Y80" i="4" s="1"/>
  <c r="AA81" i="4"/>
  <c r="T82" i="4"/>
  <c r="AA82" i="4" s="1"/>
  <c r="T83" i="4"/>
  <c r="V83" i="4" s="1"/>
  <c r="Y83" i="4" s="1"/>
  <c r="T84" i="4"/>
  <c r="T85" i="4"/>
  <c r="AA85" i="4" s="1"/>
  <c r="T86" i="4"/>
  <c r="T87" i="4"/>
  <c r="V87" i="4" s="1"/>
  <c r="Y87" i="4" s="1"/>
  <c r="T88" i="4"/>
  <c r="T89" i="4"/>
  <c r="AA89" i="4" s="1"/>
  <c r="T90" i="4"/>
  <c r="AA90" i="4" s="1"/>
  <c r="T91" i="4"/>
  <c r="V91" i="4" s="1"/>
  <c r="Y91" i="4" s="1"/>
  <c r="T92" i="4"/>
  <c r="T93" i="4"/>
  <c r="AA93" i="4" s="1"/>
  <c r="T94" i="4"/>
  <c r="T95" i="4"/>
  <c r="V95" i="4" s="1"/>
  <c r="Y95" i="4" s="1"/>
  <c r="T96" i="4"/>
  <c r="T97" i="4"/>
  <c r="AA97" i="4" s="1"/>
  <c r="T98" i="4"/>
  <c r="AA98" i="4" s="1"/>
  <c r="T99" i="4"/>
  <c r="V99" i="4" s="1"/>
  <c r="Y99" i="4" s="1"/>
  <c r="T100" i="4"/>
  <c r="T101" i="4"/>
  <c r="AA101" i="4" s="1"/>
  <c r="T102" i="4"/>
  <c r="T103" i="4"/>
  <c r="V103" i="4" s="1"/>
  <c r="Y103" i="4" s="1"/>
  <c r="T104" i="4"/>
  <c r="T105" i="4"/>
  <c r="AA105" i="4" s="1"/>
  <c r="T106" i="4"/>
  <c r="AA106" i="4" s="1"/>
  <c r="T107" i="4"/>
  <c r="V107" i="4" s="1"/>
  <c r="Y107" i="4" s="1"/>
  <c r="T108" i="4"/>
  <c r="T109" i="4"/>
  <c r="AA109" i="4" s="1"/>
  <c r="T110" i="4"/>
  <c r="T111" i="4"/>
  <c r="V111" i="4" s="1"/>
  <c r="Y111" i="4" s="1"/>
  <c r="T112" i="4"/>
  <c r="V112" i="4" s="1"/>
  <c r="Y112" i="4" s="1"/>
  <c r="T113" i="4"/>
  <c r="AA113" i="4" s="1"/>
  <c r="T114" i="4"/>
  <c r="AA114" i="4" s="1"/>
  <c r="T115" i="4"/>
  <c r="V115" i="4" s="1"/>
  <c r="Y115" i="4" s="1"/>
  <c r="T116" i="4"/>
  <c r="T117" i="4"/>
  <c r="AA117" i="4" s="1"/>
  <c r="T118" i="4"/>
  <c r="T119" i="4"/>
  <c r="V119" i="4" s="1"/>
  <c r="Y119" i="4" s="1"/>
  <c r="T120" i="4"/>
  <c r="T121" i="4"/>
  <c r="AA121" i="4" s="1"/>
  <c r="T122" i="4"/>
  <c r="AA122" i="4" s="1"/>
  <c r="T123" i="4"/>
  <c r="V123" i="4" s="1"/>
  <c r="Y123" i="4" s="1"/>
  <c r="T124" i="4"/>
  <c r="V124" i="4" s="1"/>
  <c r="Y124" i="4" s="1"/>
  <c r="T125" i="4"/>
  <c r="AA125" i="4" s="1"/>
  <c r="T126" i="4"/>
  <c r="T127" i="4"/>
  <c r="V127" i="4" s="1"/>
  <c r="Y127" i="4" s="1"/>
  <c r="T128" i="4"/>
  <c r="T129" i="4"/>
  <c r="AA129" i="4" s="1"/>
  <c r="T130" i="4"/>
  <c r="AA130" i="4" s="1"/>
  <c r="T131" i="4"/>
  <c r="V131" i="4" s="1"/>
  <c r="Y131" i="4" s="1"/>
  <c r="T132" i="4"/>
  <c r="T133" i="4"/>
  <c r="AA133" i="4" s="1"/>
  <c r="T134" i="4"/>
  <c r="T135" i="4"/>
  <c r="V135" i="4" s="1"/>
  <c r="Y135" i="4" s="1"/>
  <c r="T136" i="4"/>
  <c r="T137" i="4"/>
  <c r="AA137" i="4" s="1"/>
  <c r="T138" i="4"/>
  <c r="AA138" i="4" s="1"/>
  <c r="T139" i="4"/>
  <c r="V139" i="4" s="1"/>
  <c r="Y139" i="4" s="1"/>
  <c r="T140" i="4"/>
  <c r="V140" i="4" s="1"/>
  <c r="Y140" i="4" s="1"/>
  <c r="T141" i="4"/>
  <c r="AA141" i="4" s="1"/>
  <c r="T142" i="4"/>
  <c r="T143" i="4"/>
  <c r="V143" i="4" s="1"/>
  <c r="Y143" i="4" s="1"/>
  <c r="T144" i="4"/>
  <c r="T145" i="4"/>
  <c r="AA145" i="4" s="1"/>
  <c r="T146" i="4"/>
  <c r="AA146" i="4" s="1"/>
  <c r="T147" i="4"/>
  <c r="V147" i="4" s="1"/>
  <c r="Y147" i="4" s="1"/>
  <c r="T148" i="4"/>
  <c r="V148" i="4" s="1"/>
  <c r="Y148" i="4" s="1"/>
  <c r="T149" i="4"/>
  <c r="AA149" i="4" s="1"/>
  <c r="T150" i="4"/>
  <c r="T151" i="4"/>
  <c r="V151" i="4" s="1"/>
  <c r="Y151" i="4" s="1"/>
  <c r="T152" i="4"/>
  <c r="T153" i="4"/>
  <c r="AA153" i="4" s="1"/>
  <c r="T154" i="4"/>
  <c r="AA154" i="4" s="1"/>
  <c r="T155" i="4"/>
  <c r="V155" i="4" s="1"/>
  <c r="Y155" i="4" s="1"/>
  <c r="T156" i="4"/>
  <c r="T157" i="4"/>
  <c r="AA157" i="4" s="1"/>
  <c r="T158" i="4"/>
  <c r="T159" i="4"/>
  <c r="V159" i="4" s="1"/>
  <c r="Y159" i="4" s="1"/>
  <c r="T160" i="4"/>
  <c r="T161" i="4"/>
  <c r="AA161" i="4" s="1"/>
  <c r="T162" i="4"/>
  <c r="AA162" i="4" s="1"/>
  <c r="T163" i="4"/>
  <c r="V163" i="4" s="1"/>
  <c r="Y163" i="4" s="1"/>
  <c r="T164" i="4"/>
  <c r="T165" i="4"/>
  <c r="AA165" i="4" s="1"/>
  <c r="T166" i="4"/>
  <c r="T167" i="4"/>
  <c r="V167" i="4" s="1"/>
  <c r="Y167" i="4" s="1"/>
  <c r="T168" i="4"/>
  <c r="T169" i="4"/>
  <c r="AA169" i="4" s="1"/>
  <c r="T170" i="4"/>
  <c r="AA170" i="4" s="1"/>
  <c r="T171" i="4"/>
  <c r="V171" i="4" s="1"/>
  <c r="Y171" i="4" s="1"/>
  <c r="T172" i="4"/>
  <c r="T173" i="4"/>
  <c r="AA173" i="4" s="1"/>
  <c r="T174" i="4"/>
  <c r="T175" i="4"/>
  <c r="V175" i="4" s="1"/>
  <c r="Y175" i="4" s="1"/>
  <c r="T176" i="4"/>
  <c r="V176" i="4" s="1"/>
  <c r="Y176" i="4" s="1"/>
  <c r="T177" i="4"/>
  <c r="AA177" i="4" s="1"/>
  <c r="T178" i="4"/>
  <c r="AA178" i="4" s="1"/>
  <c r="T179" i="4"/>
  <c r="V179" i="4" s="1"/>
  <c r="Y179" i="4" s="1"/>
  <c r="T180" i="4"/>
  <c r="T181" i="4"/>
  <c r="AA181" i="4" s="1"/>
  <c r="T182" i="4"/>
  <c r="T183" i="4"/>
  <c r="V183" i="4" s="1"/>
  <c r="Y183" i="4" s="1"/>
  <c r="T184" i="4"/>
  <c r="T185" i="4"/>
  <c r="AA185" i="4" s="1"/>
  <c r="T186" i="4"/>
  <c r="AA186" i="4" s="1"/>
  <c r="T187" i="4"/>
  <c r="V187" i="4" s="1"/>
  <c r="Y187" i="4" s="1"/>
  <c r="T188" i="4"/>
  <c r="V188" i="4" s="1"/>
  <c r="Y188" i="4" s="1"/>
  <c r="T189" i="4"/>
  <c r="AA189" i="4" s="1"/>
  <c r="T190" i="4"/>
  <c r="T191" i="4"/>
  <c r="V191" i="4" s="1"/>
  <c r="Y191" i="4" s="1"/>
  <c r="T192" i="4"/>
  <c r="T193" i="4"/>
  <c r="AA193" i="4" s="1"/>
  <c r="T194" i="4"/>
  <c r="AA194" i="4" s="1"/>
  <c r="T195" i="4"/>
  <c r="V195" i="4" s="1"/>
  <c r="Y195" i="4" s="1"/>
  <c r="T196" i="4"/>
  <c r="V196" i="4" s="1"/>
  <c r="Y196" i="4" s="1"/>
  <c r="T197" i="4"/>
  <c r="AA197" i="4" s="1"/>
  <c r="T198" i="4"/>
  <c r="T199" i="4"/>
  <c r="V199" i="4" s="1"/>
  <c r="Y199" i="4" s="1"/>
  <c r="T200" i="4"/>
  <c r="V200" i="4" s="1"/>
  <c r="Y200" i="4" s="1"/>
  <c r="T201" i="4"/>
  <c r="AA201" i="4" s="1"/>
  <c r="T202" i="4"/>
  <c r="AA202" i="4" s="1"/>
  <c r="L74" i="4"/>
  <c r="L75" i="4"/>
  <c r="L77" i="4"/>
  <c r="L78" i="4"/>
  <c r="L79" i="4"/>
  <c r="L80" i="4"/>
  <c r="L81" i="4"/>
  <c r="L82" i="4"/>
  <c r="L83" i="4"/>
  <c r="L85" i="4"/>
  <c r="L86" i="4"/>
  <c r="L87" i="4"/>
  <c r="L89" i="4"/>
  <c r="L90" i="4"/>
  <c r="L91" i="4"/>
  <c r="L93" i="4"/>
  <c r="L94" i="4"/>
  <c r="L95" i="4"/>
  <c r="L96" i="4"/>
  <c r="L97" i="4"/>
  <c r="L98" i="4"/>
  <c r="L99" i="4"/>
  <c r="L100" i="4"/>
  <c r="L101" i="4"/>
  <c r="L102" i="4"/>
  <c r="L103" i="4"/>
  <c r="L104" i="4"/>
  <c r="L106" i="4"/>
  <c r="L107" i="4"/>
  <c r="L108" i="4"/>
  <c r="L109" i="4"/>
  <c r="L110" i="4"/>
  <c r="L111" i="4"/>
  <c r="L112" i="4"/>
  <c r="L114" i="4"/>
  <c r="L115" i="4"/>
  <c r="L116" i="4"/>
  <c r="L118" i="4"/>
  <c r="L119" i="4"/>
  <c r="L121" i="4"/>
  <c r="L122" i="4"/>
  <c r="L123" i="4"/>
  <c r="L124" i="4"/>
  <c r="L125" i="4"/>
  <c r="L149" i="4"/>
  <c r="L150" i="4"/>
  <c r="L151" i="4"/>
  <c r="L153" i="4"/>
  <c r="L154" i="4"/>
  <c r="L155" i="4"/>
  <c r="L157" i="4"/>
  <c r="L158" i="4"/>
  <c r="L159" i="4"/>
  <c r="L64" i="4"/>
  <c r="L66" i="4"/>
  <c r="L67" i="4"/>
  <c r="L68" i="4"/>
  <c r="L69" i="4"/>
  <c r="L70" i="4"/>
  <c r="L72" i="4"/>
  <c r="L73" i="4"/>
  <c r="F150" i="4"/>
  <c r="G150" i="4" s="1"/>
  <c r="F151" i="4"/>
  <c r="G151" i="4" s="1"/>
  <c r="F153" i="4"/>
  <c r="G153" i="4" s="1"/>
  <c r="F154" i="4"/>
  <c r="G154" i="4" s="1"/>
  <c r="F149" i="4"/>
  <c r="F124" i="4"/>
  <c r="G124" i="4" s="1"/>
  <c r="F123" i="4"/>
  <c r="G123" i="4" s="1"/>
  <c r="F116" i="4"/>
  <c r="G116" i="4" s="1"/>
  <c r="F115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3" i="4"/>
  <c r="F85" i="4"/>
  <c r="F86" i="4"/>
  <c r="F87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4" i="4"/>
  <c r="AB6" i="4"/>
  <c r="W6" i="4"/>
  <c r="R6" i="4"/>
  <c r="Q6" i="4"/>
  <c r="T6" i="4" s="1"/>
  <c r="P6" i="4"/>
  <c r="N117" i="4" l="1"/>
  <c r="N161" i="4"/>
  <c r="M117" i="4"/>
  <c r="M161" i="4"/>
  <c r="M105" i="4"/>
  <c r="N105" i="4"/>
  <c r="M113" i="4"/>
  <c r="N113" i="4"/>
  <c r="N152" i="4"/>
  <c r="N173" i="4"/>
  <c r="M29" i="4"/>
  <c r="M20" i="4"/>
  <c r="N65" i="4"/>
  <c r="N29" i="4"/>
  <c r="B28" i="7"/>
  <c r="O24" i="5"/>
  <c r="B23" i="7"/>
  <c r="O19" i="5"/>
  <c r="B37" i="7"/>
  <c r="O33" i="5"/>
  <c r="B31" i="7"/>
  <c r="O27" i="5"/>
  <c r="B22" i="7"/>
  <c r="O18" i="5"/>
  <c r="B17" i="7"/>
  <c r="O13" i="5"/>
  <c r="B13" i="7"/>
  <c r="O9" i="5"/>
  <c r="B38" i="7"/>
  <c r="O34" i="5"/>
  <c r="B18" i="7"/>
  <c r="O14" i="5"/>
  <c r="B36" i="7"/>
  <c r="O32" i="5"/>
  <c r="B30" i="7"/>
  <c r="O26" i="5"/>
  <c r="B26" i="7"/>
  <c r="O22" i="5"/>
  <c r="B20" i="7"/>
  <c r="O16" i="5"/>
  <c r="B16" i="7"/>
  <c r="O12" i="5"/>
  <c r="B9" i="7"/>
  <c r="O5" i="5"/>
  <c r="B32" i="7"/>
  <c r="O28" i="5"/>
  <c r="B14" i="7"/>
  <c r="O10" i="5"/>
  <c r="B35" i="7"/>
  <c r="O31" i="5"/>
  <c r="B25" i="7"/>
  <c r="O21" i="5"/>
  <c r="B19" i="7"/>
  <c r="O15" i="5"/>
  <c r="B15" i="7"/>
  <c r="O11" i="5"/>
  <c r="B8" i="7"/>
  <c r="O4" i="5"/>
  <c r="V67" i="4"/>
  <c r="Y67" i="4" s="1"/>
  <c r="V27" i="4"/>
  <c r="Y27" i="4" s="1"/>
  <c r="AA6" i="4"/>
  <c r="AD6" i="4" s="1"/>
  <c r="M63" i="4"/>
  <c r="M152" i="4"/>
  <c r="M65" i="4"/>
  <c r="M76" i="4"/>
  <c r="AA198" i="4"/>
  <c r="AA190" i="4"/>
  <c r="AA182" i="4"/>
  <c r="AA174" i="4"/>
  <c r="AA166" i="4"/>
  <c r="AA158" i="4"/>
  <c r="AA150" i="4"/>
  <c r="AA142" i="4"/>
  <c r="AA134" i="4"/>
  <c r="AA126" i="4"/>
  <c r="AA118" i="4"/>
  <c r="AA110" i="4"/>
  <c r="AA102" i="4"/>
  <c r="AA94" i="4"/>
  <c r="AA86" i="4"/>
  <c r="AA78" i="4"/>
  <c r="AA70" i="4"/>
  <c r="AA62" i="4"/>
  <c r="AA54" i="4"/>
  <c r="AA46" i="4"/>
  <c r="AA38" i="4"/>
  <c r="AA30" i="4"/>
  <c r="AA22" i="4"/>
  <c r="AA14" i="4"/>
  <c r="AA192" i="4"/>
  <c r="AA184" i="4"/>
  <c r="AA180" i="4"/>
  <c r="AA172" i="4"/>
  <c r="AA168" i="4"/>
  <c r="AA164" i="4"/>
  <c r="AA160" i="4"/>
  <c r="AA156" i="4"/>
  <c r="AA152" i="4"/>
  <c r="AA144" i="4"/>
  <c r="AA136" i="4"/>
  <c r="AA132" i="4"/>
  <c r="AA128" i="4"/>
  <c r="AA120" i="4"/>
  <c r="AA116" i="4"/>
  <c r="AA108" i="4"/>
  <c r="AA104" i="4"/>
  <c r="AA100" i="4"/>
  <c r="AA96" i="4"/>
  <c r="AA92" i="4"/>
  <c r="AA88" i="4"/>
  <c r="AA84" i="4"/>
  <c r="AA76" i="4"/>
  <c r="AA72" i="4"/>
  <c r="AA64" i="4"/>
  <c r="AA60" i="4"/>
  <c r="AA56" i="4"/>
  <c r="AA52" i="4"/>
  <c r="AA44" i="4"/>
  <c r="AA40" i="4"/>
  <c r="AA32" i="4"/>
  <c r="AA28" i="4"/>
  <c r="AA24" i="4"/>
  <c r="AA20" i="4"/>
  <c r="AA12" i="4"/>
  <c r="V132" i="4"/>
  <c r="Y132" i="4" s="1"/>
  <c r="V160" i="4"/>
  <c r="Y160" i="4" s="1"/>
  <c r="V96" i="4"/>
  <c r="Y96" i="4" s="1"/>
  <c r="AA200" i="4"/>
  <c r="AA196" i="4"/>
  <c r="AA188" i="4"/>
  <c r="AA176" i="4"/>
  <c r="AA148" i="4"/>
  <c r="AA140" i="4"/>
  <c r="AA124" i="4"/>
  <c r="AA112" i="4"/>
  <c r="AA80" i="4"/>
  <c r="AA68" i="4"/>
  <c r="AA48" i="4"/>
  <c r="AA36" i="4"/>
  <c r="AA16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V169" i="4"/>
  <c r="Y169" i="4" s="1"/>
  <c r="V161" i="4"/>
  <c r="Y161" i="4" s="1"/>
  <c r="V145" i="4"/>
  <c r="Y145" i="4" s="1"/>
  <c r="V105" i="4"/>
  <c r="Y105" i="4" s="1"/>
  <c r="V97" i="4"/>
  <c r="Y97" i="4" s="1"/>
  <c r="V69" i="4"/>
  <c r="Y69" i="4" s="1"/>
  <c r="V37" i="4"/>
  <c r="Y37" i="4" s="1"/>
  <c r="V201" i="4"/>
  <c r="Y201" i="4" s="1"/>
  <c r="V181" i="4"/>
  <c r="Y181" i="4" s="1"/>
  <c r="V153" i="4"/>
  <c r="Y153" i="4" s="1"/>
  <c r="V133" i="4"/>
  <c r="Y133" i="4" s="1"/>
  <c r="V117" i="4"/>
  <c r="Y117" i="4" s="1"/>
  <c r="V89" i="4"/>
  <c r="Y89" i="4" s="1"/>
  <c r="V57" i="4"/>
  <c r="Y57" i="4" s="1"/>
  <c r="V25" i="4"/>
  <c r="Y25" i="4" s="1"/>
  <c r="V98" i="4"/>
  <c r="Y98" i="4" s="1"/>
  <c r="V34" i="4"/>
  <c r="Y34" i="4" s="1"/>
  <c r="V193" i="4"/>
  <c r="Y193" i="4" s="1"/>
  <c r="V185" i="4"/>
  <c r="Y185" i="4" s="1"/>
  <c r="V177" i="4"/>
  <c r="Y177" i="4" s="1"/>
  <c r="V165" i="4"/>
  <c r="Y165" i="4" s="1"/>
  <c r="V149" i="4"/>
  <c r="Y149" i="4" s="1"/>
  <c r="V101" i="4"/>
  <c r="Y101" i="4" s="1"/>
  <c r="V73" i="4"/>
  <c r="Y73" i="4" s="1"/>
  <c r="V41" i="4"/>
  <c r="Y41" i="4" s="1"/>
  <c r="V21" i="4"/>
  <c r="Y21" i="4" s="1"/>
  <c r="V178" i="4"/>
  <c r="Y178" i="4" s="1"/>
  <c r="V162" i="4"/>
  <c r="Y162" i="4" s="1"/>
  <c r="V114" i="4"/>
  <c r="Y114" i="4" s="1"/>
  <c r="V50" i="4"/>
  <c r="Y50" i="4" s="1"/>
  <c r="V197" i="4"/>
  <c r="Y197" i="4" s="1"/>
  <c r="V137" i="4"/>
  <c r="Y137" i="4" s="1"/>
  <c r="V129" i="4"/>
  <c r="Y129" i="4" s="1"/>
  <c r="V121" i="4"/>
  <c r="Y121" i="4" s="1"/>
  <c r="V113" i="4"/>
  <c r="Y113" i="4" s="1"/>
  <c r="V85" i="4"/>
  <c r="Y85" i="4" s="1"/>
  <c r="V53" i="4"/>
  <c r="Y53" i="4" s="1"/>
  <c r="V192" i="4"/>
  <c r="Y192" i="4" s="1"/>
  <c r="V184" i="4"/>
  <c r="Y184" i="4" s="1"/>
  <c r="V180" i="4"/>
  <c r="Y180" i="4" s="1"/>
  <c r="V172" i="4"/>
  <c r="Y172" i="4" s="1"/>
  <c r="V168" i="4"/>
  <c r="Y168" i="4" s="1"/>
  <c r="V164" i="4"/>
  <c r="Y164" i="4" s="1"/>
  <c r="V156" i="4"/>
  <c r="Y156" i="4" s="1"/>
  <c r="V152" i="4"/>
  <c r="Y152" i="4" s="1"/>
  <c r="V144" i="4"/>
  <c r="Y144" i="4" s="1"/>
  <c r="V136" i="4"/>
  <c r="Y136" i="4" s="1"/>
  <c r="V128" i="4"/>
  <c r="Y128" i="4" s="1"/>
  <c r="V120" i="4"/>
  <c r="Y120" i="4" s="1"/>
  <c r="V116" i="4"/>
  <c r="Y116" i="4" s="1"/>
  <c r="V108" i="4"/>
  <c r="Y108" i="4" s="1"/>
  <c r="V104" i="4"/>
  <c r="Y104" i="4" s="1"/>
  <c r="V100" i="4"/>
  <c r="Y100" i="4" s="1"/>
  <c r="V92" i="4"/>
  <c r="Y92" i="4" s="1"/>
  <c r="V88" i="4"/>
  <c r="Y88" i="4" s="1"/>
  <c r="V84" i="4"/>
  <c r="Y84" i="4" s="1"/>
  <c r="V76" i="4"/>
  <c r="Y76" i="4" s="1"/>
  <c r="V72" i="4"/>
  <c r="Y72" i="4" s="1"/>
  <c r="V64" i="4"/>
  <c r="Y64" i="4" s="1"/>
  <c r="V60" i="4"/>
  <c r="Y60" i="4" s="1"/>
  <c r="V56" i="4"/>
  <c r="Y56" i="4" s="1"/>
  <c r="V52" i="4"/>
  <c r="Y52" i="4" s="1"/>
  <c r="V44" i="4"/>
  <c r="Y44" i="4" s="1"/>
  <c r="V40" i="4"/>
  <c r="Y40" i="4" s="1"/>
  <c r="V32" i="4"/>
  <c r="Y32" i="4" s="1"/>
  <c r="V28" i="4"/>
  <c r="Y28" i="4" s="1"/>
  <c r="V24" i="4"/>
  <c r="Y24" i="4" s="1"/>
  <c r="V20" i="4"/>
  <c r="Y20" i="4" s="1"/>
  <c r="V12" i="4"/>
  <c r="Y12" i="4" s="1"/>
  <c r="V198" i="4"/>
  <c r="Y198" i="4" s="1"/>
  <c r="V190" i="4"/>
  <c r="Y190" i="4" s="1"/>
  <c r="V170" i="4"/>
  <c r="Y170" i="4" s="1"/>
  <c r="V166" i="4"/>
  <c r="Y166" i="4" s="1"/>
  <c r="V158" i="4"/>
  <c r="Y158" i="4" s="1"/>
  <c r="V150" i="4"/>
  <c r="Y150" i="4" s="1"/>
  <c r="V142" i="4"/>
  <c r="Y142" i="4" s="1"/>
  <c r="V134" i="4"/>
  <c r="Y134" i="4" s="1"/>
  <c r="V126" i="4"/>
  <c r="Y126" i="4" s="1"/>
  <c r="V106" i="4"/>
  <c r="Y106" i="4" s="1"/>
  <c r="V102" i="4"/>
  <c r="Y102" i="4" s="1"/>
  <c r="V90" i="4"/>
  <c r="Y90" i="4" s="1"/>
  <c r="V82" i="4"/>
  <c r="Y82" i="4" s="1"/>
  <c r="V74" i="4"/>
  <c r="Y74" i="4" s="1"/>
  <c r="V66" i="4"/>
  <c r="Y66" i="4" s="1"/>
  <c r="V58" i="4"/>
  <c r="Y58" i="4" s="1"/>
  <c r="V42" i="4"/>
  <c r="Y42" i="4" s="1"/>
  <c r="V26" i="4"/>
  <c r="Y26" i="4" s="1"/>
  <c r="V18" i="4"/>
  <c r="Y18" i="4" s="1"/>
  <c r="V202" i="4"/>
  <c r="Y202" i="4" s="1"/>
  <c r="V194" i="4"/>
  <c r="Y194" i="4" s="1"/>
  <c r="V186" i="4"/>
  <c r="Y186" i="4" s="1"/>
  <c r="V182" i="4"/>
  <c r="Y182" i="4" s="1"/>
  <c r="V174" i="4"/>
  <c r="Y174" i="4" s="1"/>
  <c r="V154" i="4"/>
  <c r="Y154" i="4" s="1"/>
  <c r="V146" i="4"/>
  <c r="Y146" i="4" s="1"/>
  <c r="V138" i="4"/>
  <c r="Y138" i="4" s="1"/>
  <c r="V130" i="4"/>
  <c r="Y130" i="4" s="1"/>
  <c r="V122" i="4"/>
  <c r="Y122" i="4" s="1"/>
  <c r="V118" i="4"/>
  <c r="Y118" i="4" s="1"/>
  <c r="V110" i="4"/>
  <c r="Y110" i="4" s="1"/>
  <c r="V94" i="4"/>
  <c r="Y94" i="4" s="1"/>
  <c r="V86" i="4"/>
  <c r="Y86" i="4" s="1"/>
  <c r="V78" i="4"/>
  <c r="Y78" i="4" s="1"/>
  <c r="V70" i="4"/>
  <c r="Y70" i="4" s="1"/>
  <c r="V62" i="4"/>
  <c r="Y62" i="4" s="1"/>
  <c r="V54" i="4"/>
  <c r="Y54" i="4" s="1"/>
  <c r="V46" i="4"/>
  <c r="Y46" i="4" s="1"/>
  <c r="V38" i="4"/>
  <c r="Y38" i="4" s="1"/>
  <c r="V30" i="4"/>
  <c r="Y30" i="4" s="1"/>
  <c r="V22" i="4"/>
  <c r="Y22" i="4" s="1"/>
  <c r="V14" i="4"/>
  <c r="Y14" i="4" s="1"/>
  <c r="V189" i="4"/>
  <c r="Y189" i="4" s="1"/>
  <c r="V173" i="4"/>
  <c r="Y173" i="4" s="1"/>
  <c r="V157" i="4"/>
  <c r="Y157" i="4" s="1"/>
  <c r="V141" i="4"/>
  <c r="Y141" i="4" s="1"/>
  <c r="V125" i="4"/>
  <c r="Y125" i="4" s="1"/>
  <c r="V109" i="4"/>
  <c r="Y109" i="4" s="1"/>
  <c r="V93" i="4"/>
  <c r="Y93" i="4" s="1"/>
  <c r="V81" i="4"/>
  <c r="Y81" i="4" s="1"/>
  <c r="V77" i="4"/>
  <c r="Y77" i="4" s="1"/>
  <c r="V65" i="4"/>
  <c r="Y65" i="4" s="1"/>
  <c r="V61" i="4"/>
  <c r="Y61" i="4" s="1"/>
  <c r="V49" i="4"/>
  <c r="Y49" i="4" s="1"/>
  <c r="V45" i="4"/>
  <c r="Y45" i="4" s="1"/>
  <c r="V33" i="4"/>
  <c r="Y33" i="4" s="1"/>
  <c r="V29" i="4"/>
  <c r="Y29" i="4" s="1"/>
  <c r="V17" i="4"/>
  <c r="Y17" i="4" s="1"/>
  <c r="V13" i="4"/>
  <c r="Y13" i="4" s="1"/>
  <c r="G110" i="4"/>
  <c r="G109" i="4"/>
  <c r="G108" i="4"/>
  <c r="G107" i="4"/>
  <c r="G106" i="4"/>
  <c r="G104" i="4"/>
  <c r="G103" i="4"/>
  <c r="G101" i="4"/>
  <c r="G100" i="4"/>
  <c r="G99" i="4"/>
  <c r="G97" i="4"/>
  <c r="G96" i="4"/>
  <c r="G95" i="4"/>
  <c r="G94" i="4"/>
  <c r="G93" i="4"/>
  <c r="G92" i="4"/>
  <c r="G90" i="4"/>
  <c r="G89" i="4"/>
  <c r="G88" i="4"/>
  <c r="G87" i="4"/>
  <c r="G86" i="4"/>
  <c r="G85" i="4"/>
  <c r="G82" i="4"/>
  <c r="G81" i="4"/>
  <c r="G80" i="4"/>
  <c r="G79" i="4"/>
  <c r="G78" i="4"/>
  <c r="G75" i="4"/>
  <c r="G74" i="4"/>
  <c r="G73" i="4"/>
  <c r="G72" i="4"/>
  <c r="G69" i="4"/>
  <c r="G68" i="4"/>
  <c r="G67" i="4"/>
  <c r="G66" i="4"/>
  <c r="G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4" i="4"/>
  <c r="F71" i="4" s="1"/>
  <c r="R5" i="4"/>
  <c r="R7" i="4"/>
  <c r="R8" i="4"/>
  <c r="R9" i="4"/>
  <c r="R10" i="4"/>
  <c r="F152" i="4" s="1"/>
  <c r="R11" i="4"/>
  <c r="F161" i="4" s="1"/>
  <c r="R12" i="4"/>
  <c r="R3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4" i="4"/>
  <c r="P5" i="4"/>
  <c r="P7" i="4"/>
  <c r="P8" i="4"/>
  <c r="P9" i="4"/>
  <c r="P10" i="4"/>
  <c r="P11" i="4"/>
  <c r="T11" i="4" s="1"/>
  <c r="P3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C172" i="4" l="1"/>
  <c r="AD172" i="4"/>
  <c r="AC108" i="4"/>
  <c r="AD108" i="4"/>
  <c r="AC52" i="4"/>
  <c r="AD52" i="4"/>
  <c r="AC187" i="4"/>
  <c r="AE187" i="4" s="1"/>
  <c r="AD187" i="4"/>
  <c r="AC139" i="4"/>
  <c r="AD139" i="4"/>
  <c r="AC91" i="4"/>
  <c r="AD91" i="4"/>
  <c r="AC43" i="4"/>
  <c r="AD43" i="4"/>
  <c r="AC200" i="4"/>
  <c r="AE200" i="4" s="1"/>
  <c r="AD200" i="4"/>
  <c r="AC183" i="4"/>
  <c r="AD183" i="4"/>
  <c r="AC159" i="4"/>
  <c r="AD159" i="4"/>
  <c r="AC135" i="4"/>
  <c r="AD135" i="4"/>
  <c r="AC111" i="4"/>
  <c r="AE111" i="4" s="1"/>
  <c r="AD111" i="4"/>
  <c r="AC95" i="4"/>
  <c r="AD95" i="4"/>
  <c r="AC71" i="4"/>
  <c r="AD71" i="4"/>
  <c r="AC39" i="4"/>
  <c r="AD39" i="4"/>
  <c r="AC190" i="4"/>
  <c r="AE190" i="4" s="1"/>
  <c r="AD190" i="4"/>
  <c r="AC182" i="4"/>
  <c r="AD182" i="4"/>
  <c r="AC166" i="4"/>
  <c r="AE166" i="4" s="1"/>
  <c r="AD166" i="4"/>
  <c r="AC150" i="4"/>
  <c r="AD150" i="4"/>
  <c r="AC134" i="4"/>
  <c r="AE134" i="4" s="1"/>
  <c r="AD134" i="4"/>
  <c r="AC118" i="4"/>
  <c r="AD118" i="4"/>
  <c r="AC78" i="4"/>
  <c r="AE78" i="4" s="1"/>
  <c r="AD78" i="4"/>
  <c r="AC197" i="4"/>
  <c r="AD197" i="4"/>
  <c r="AC189" i="4"/>
  <c r="AE189" i="4" s="1"/>
  <c r="AD189" i="4"/>
  <c r="AC181" i="4"/>
  <c r="AD181" i="4"/>
  <c r="AC173" i="4"/>
  <c r="AE173" i="4" s="1"/>
  <c r="AD173" i="4"/>
  <c r="AC165" i="4"/>
  <c r="AD165" i="4"/>
  <c r="AC157" i="4"/>
  <c r="AE157" i="4" s="1"/>
  <c r="AD157" i="4"/>
  <c r="AC149" i="4"/>
  <c r="AD149" i="4"/>
  <c r="AC141" i="4"/>
  <c r="AE141" i="4" s="1"/>
  <c r="AD141" i="4"/>
  <c r="AC133" i="4"/>
  <c r="AD133" i="4"/>
  <c r="AC125" i="4"/>
  <c r="AE125" i="4" s="1"/>
  <c r="AD125" i="4"/>
  <c r="AC117" i="4"/>
  <c r="AD117" i="4"/>
  <c r="AC109" i="4"/>
  <c r="AE109" i="4" s="1"/>
  <c r="AD109" i="4"/>
  <c r="AC101" i="4"/>
  <c r="AD101" i="4"/>
  <c r="AC93" i="4"/>
  <c r="AE93" i="4" s="1"/>
  <c r="AD93" i="4"/>
  <c r="AC85" i="4"/>
  <c r="AE85" i="4" s="1"/>
  <c r="AD85" i="4"/>
  <c r="AC77" i="4"/>
  <c r="AE77" i="4" s="1"/>
  <c r="AD77" i="4"/>
  <c r="AC69" i="4"/>
  <c r="AD69" i="4"/>
  <c r="AC61" i="4"/>
  <c r="AE61" i="4" s="1"/>
  <c r="AD61" i="4"/>
  <c r="AC53" i="4"/>
  <c r="AE53" i="4" s="1"/>
  <c r="AD53" i="4"/>
  <c r="AC45" i="4"/>
  <c r="AE45" i="4" s="1"/>
  <c r="AD45" i="4"/>
  <c r="AC37" i="4"/>
  <c r="AD37" i="4"/>
  <c r="AC29" i="4"/>
  <c r="AE29" i="4" s="1"/>
  <c r="AD29" i="4"/>
  <c r="AC21" i="4"/>
  <c r="AE21" i="4" s="1"/>
  <c r="AD21" i="4"/>
  <c r="AC13" i="4"/>
  <c r="AE13" i="4" s="1"/>
  <c r="AD13" i="4"/>
  <c r="AC196" i="4"/>
  <c r="AD196" i="4"/>
  <c r="AC132" i="4"/>
  <c r="AE132" i="4" s="1"/>
  <c r="AD132" i="4"/>
  <c r="AC76" i="4"/>
  <c r="AE76" i="4" s="1"/>
  <c r="AD76" i="4"/>
  <c r="AC28" i="4"/>
  <c r="AE28" i="4" s="1"/>
  <c r="AD28" i="4"/>
  <c r="AC155" i="4"/>
  <c r="AD155" i="4"/>
  <c r="AC107" i="4"/>
  <c r="AE107" i="4" s="1"/>
  <c r="AD107" i="4"/>
  <c r="AC67" i="4"/>
  <c r="AE67" i="4" s="1"/>
  <c r="AD67" i="4"/>
  <c r="AC19" i="4"/>
  <c r="AE19" i="4" s="1"/>
  <c r="AD19" i="4"/>
  <c r="AC170" i="4"/>
  <c r="AD170" i="4"/>
  <c r="AC130" i="4"/>
  <c r="AE130" i="4" s="1"/>
  <c r="AD130" i="4"/>
  <c r="AC90" i="4"/>
  <c r="AE90" i="4" s="1"/>
  <c r="AD90" i="4"/>
  <c r="AC50" i="4"/>
  <c r="AE50" i="4" s="1"/>
  <c r="AD50" i="4"/>
  <c r="AC18" i="4"/>
  <c r="AD18" i="4"/>
  <c r="AC156" i="4"/>
  <c r="AE156" i="4" s="1"/>
  <c r="AD156" i="4"/>
  <c r="AC100" i="4"/>
  <c r="AE100" i="4" s="1"/>
  <c r="AD100" i="4"/>
  <c r="AC44" i="4"/>
  <c r="AE44" i="4" s="1"/>
  <c r="AD44" i="4"/>
  <c r="AC171" i="4"/>
  <c r="AD171" i="4"/>
  <c r="AC123" i="4"/>
  <c r="AE123" i="4" s="1"/>
  <c r="AD123" i="4"/>
  <c r="AC75" i="4"/>
  <c r="AE75" i="4" s="1"/>
  <c r="AD75" i="4"/>
  <c r="AC35" i="4"/>
  <c r="AE35" i="4" s="1"/>
  <c r="AD35" i="4"/>
  <c r="AC202" i="4"/>
  <c r="AD202" i="4"/>
  <c r="AC194" i="4"/>
  <c r="AE194" i="4" s="1"/>
  <c r="AD194" i="4"/>
  <c r="AC186" i="4"/>
  <c r="AE186" i="4" s="1"/>
  <c r="AD186" i="4"/>
  <c r="AC178" i="4"/>
  <c r="AE178" i="4" s="1"/>
  <c r="AD178" i="4"/>
  <c r="AC162" i="4"/>
  <c r="AD162" i="4"/>
  <c r="AC154" i="4"/>
  <c r="AE154" i="4" s="1"/>
  <c r="AD154" i="4"/>
  <c r="AC146" i="4"/>
  <c r="AE146" i="4" s="1"/>
  <c r="AD146" i="4"/>
  <c r="AC138" i="4"/>
  <c r="AE138" i="4" s="1"/>
  <c r="AD138" i="4"/>
  <c r="AC122" i="4"/>
  <c r="AD122" i="4"/>
  <c r="AC114" i="4"/>
  <c r="AE114" i="4" s="1"/>
  <c r="AD114" i="4"/>
  <c r="AC106" i="4"/>
  <c r="AE106" i="4" s="1"/>
  <c r="AD106" i="4"/>
  <c r="AC98" i="4"/>
  <c r="AE98" i="4" s="1"/>
  <c r="AD98" i="4"/>
  <c r="AC82" i="4"/>
  <c r="AD82" i="4"/>
  <c r="AC74" i="4"/>
  <c r="AE74" i="4" s="1"/>
  <c r="AD74" i="4"/>
  <c r="AC66" i="4"/>
  <c r="AE66" i="4" s="1"/>
  <c r="AD66" i="4"/>
  <c r="AC58" i="4"/>
  <c r="AE58" i="4" s="1"/>
  <c r="AD58" i="4"/>
  <c r="AC42" i="4"/>
  <c r="AD42" i="4"/>
  <c r="AC34" i="4"/>
  <c r="AE34" i="4" s="1"/>
  <c r="AD34" i="4"/>
  <c r="AC26" i="4"/>
  <c r="AE26" i="4" s="1"/>
  <c r="AD26" i="4"/>
  <c r="AD201" i="4"/>
  <c r="AC201" i="4"/>
  <c r="AD193" i="4"/>
  <c r="AC193" i="4"/>
  <c r="AE193" i="4" s="1"/>
  <c r="AD185" i="4"/>
  <c r="AC185" i="4"/>
  <c r="AD177" i="4"/>
  <c r="AC177" i="4"/>
  <c r="AD169" i="4"/>
  <c r="AC169" i="4"/>
  <c r="AD161" i="4"/>
  <c r="AC161" i="4"/>
  <c r="AE161" i="4" s="1"/>
  <c r="AD153" i="4"/>
  <c r="AC153" i="4"/>
  <c r="AD145" i="4"/>
  <c r="AC145" i="4"/>
  <c r="AD137" i="4"/>
  <c r="AC137" i="4"/>
  <c r="AD129" i="4"/>
  <c r="AC129" i="4"/>
  <c r="AE129" i="4" s="1"/>
  <c r="AD121" i="4"/>
  <c r="AC121" i="4"/>
  <c r="AD113" i="4"/>
  <c r="AC113" i="4"/>
  <c r="AD105" i="4"/>
  <c r="AC105" i="4"/>
  <c r="AD97" i="4"/>
  <c r="AC97" i="4"/>
  <c r="AE97" i="4" s="1"/>
  <c r="AD89" i="4"/>
  <c r="AC89" i="4"/>
  <c r="AD81" i="4"/>
  <c r="AC81" i="4"/>
  <c r="AD73" i="4"/>
  <c r="AC73" i="4"/>
  <c r="AD65" i="4"/>
  <c r="AC65" i="4"/>
  <c r="AE65" i="4" s="1"/>
  <c r="AD57" i="4"/>
  <c r="AC57" i="4"/>
  <c r="AD49" i="4"/>
  <c r="AC49" i="4"/>
  <c r="AD41" i="4"/>
  <c r="AC41" i="4"/>
  <c r="AD33" i="4"/>
  <c r="AC33" i="4"/>
  <c r="AE33" i="4" s="1"/>
  <c r="AD25" i="4"/>
  <c r="AC25" i="4"/>
  <c r="AD17" i="4"/>
  <c r="AC17" i="4"/>
  <c r="AC180" i="4"/>
  <c r="AE180" i="4" s="1"/>
  <c r="AD180" i="4"/>
  <c r="AC148" i="4"/>
  <c r="AD148" i="4"/>
  <c r="AC116" i="4"/>
  <c r="AE116" i="4" s="1"/>
  <c r="AD116" i="4"/>
  <c r="AC60" i="4"/>
  <c r="AE60" i="4" s="1"/>
  <c r="AD60" i="4"/>
  <c r="AC12" i="4"/>
  <c r="AE12" i="4" s="1"/>
  <c r="AD12" i="4"/>
  <c r="AC195" i="4"/>
  <c r="AD195" i="4"/>
  <c r="AC147" i="4"/>
  <c r="AE147" i="4" s="1"/>
  <c r="AD147" i="4"/>
  <c r="AC99" i="4"/>
  <c r="AE99" i="4" s="1"/>
  <c r="AD99" i="4"/>
  <c r="AC51" i="4"/>
  <c r="AE51" i="4" s="1"/>
  <c r="AD51" i="4"/>
  <c r="AC192" i="4"/>
  <c r="AD192" i="4"/>
  <c r="AC184" i="4"/>
  <c r="AE184" i="4" s="1"/>
  <c r="AD184" i="4"/>
  <c r="AC176" i="4"/>
  <c r="AE176" i="4" s="1"/>
  <c r="AD176" i="4"/>
  <c r="AC168" i="4"/>
  <c r="AE168" i="4" s="1"/>
  <c r="AD168" i="4"/>
  <c r="AC160" i="4"/>
  <c r="AD160" i="4"/>
  <c r="AC152" i="4"/>
  <c r="AE152" i="4" s="1"/>
  <c r="AD152" i="4"/>
  <c r="AC144" i="4"/>
  <c r="AE144" i="4" s="1"/>
  <c r="AD144" i="4"/>
  <c r="AC136" i="4"/>
  <c r="AE136" i="4" s="1"/>
  <c r="AD136" i="4"/>
  <c r="AC128" i="4"/>
  <c r="AD128" i="4"/>
  <c r="AC120" i="4"/>
  <c r="AE120" i="4" s="1"/>
  <c r="AD120" i="4"/>
  <c r="AC112" i="4"/>
  <c r="AE112" i="4" s="1"/>
  <c r="AD112" i="4"/>
  <c r="AC104" i="4"/>
  <c r="AE104" i="4" s="1"/>
  <c r="AD104" i="4"/>
  <c r="AC96" i="4"/>
  <c r="AD96" i="4"/>
  <c r="AC88" i="4"/>
  <c r="AE88" i="4" s="1"/>
  <c r="AD88" i="4"/>
  <c r="AC80" i="4"/>
  <c r="AE80" i="4" s="1"/>
  <c r="AD80" i="4"/>
  <c r="AC72" i="4"/>
  <c r="AE72" i="4" s="1"/>
  <c r="AD72" i="4"/>
  <c r="AC64" i="4"/>
  <c r="AD64" i="4"/>
  <c r="AC56" i="4"/>
  <c r="AE56" i="4" s="1"/>
  <c r="AD56" i="4"/>
  <c r="AC48" i="4"/>
  <c r="AE48" i="4" s="1"/>
  <c r="AD48" i="4"/>
  <c r="AC40" i="4"/>
  <c r="AE40" i="4" s="1"/>
  <c r="AD40" i="4"/>
  <c r="AC32" i="4"/>
  <c r="AD32" i="4"/>
  <c r="AC24" i="4"/>
  <c r="AE24" i="4" s="1"/>
  <c r="AD24" i="4"/>
  <c r="AC16" i="4"/>
  <c r="AE16" i="4" s="1"/>
  <c r="AD16" i="4"/>
  <c r="AC188" i="4"/>
  <c r="AE188" i="4" s="1"/>
  <c r="AD188" i="4"/>
  <c r="AC164" i="4"/>
  <c r="AD164" i="4"/>
  <c r="AC124" i="4"/>
  <c r="AE124" i="4" s="1"/>
  <c r="AD124" i="4"/>
  <c r="AC92" i="4"/>
  <c r="AE92" i="4" s="1"/>
  <c r="AD92" i="4"/>
  <c r="AC68" i="4"/>
  <c r="AE68" i="4" s="1"/>
  <c r="AD68" i="4"/>
  <c r="AC20" i="4"/>
  <c r="AD20" i="4"/>
  <c r="AC179" i="4"/>
  <c r="AE179" i="4" s="1"/>
  <c r="AD179" i="4"/>
  <c r="AC131" i="4"/>
  <c r="AE131" i="4" s="1"/>
  <c r="AD131" i="4"/>
  <c r="AC83" i="4"/>
  <c r="AE83" i="4" s="1"/>
  <c r="AD83" i="4"/>
  <c r="AC27" i="4"/>
  <c r="AD27" i="4"/>
  <c r="AC191" i="4"/>
  <c r="AE191" i="4" s="1"/>
  <c r="AD191" i="4"/>
  <c r="AC167" i="4"/>
  <c r="AE167" i="4" s="1"/>
  <c r="AD167" i="4"/>
  <c r="AC151" i="4"/>
  <c r="AE151" i="4" s="1"/>
  <c r="AD151" i="4"/>
  <c r="AC127" i="4"/>
  <c r="AD127" i="4"/>
  <c r="AC103" i="4"/>
  <c r="AE103" i="4" s="1"/>
  <c r="AD103" i="4"/>
  <c r="AC79" i="4"/>
  <c r="AE79" i="4" s="1"/>
  <c r="AD79" i="4"/>
  <c r="AC63" i="4"/>
  <c r="AE63" i="4" s="1"/>
  <c r="AD63" i="4"/>
  <c r="AC55" i="4"/>
  <c r="AD55" i="4"/>
  <c r="AC31" i="4"/>
  <c r="AE31" i="4" s="1"/>
  <c r="AD31" i="4"/>
  <c r="AC23" i="4"/>
  <c r="AE23" i="4" s="1"/>
  <c r="AD23" i="4"/>
  <c r="AC15" i="4"/>
  <c r="AE15" i="4" s="1"/>
  <c r="AD15" i="4"/>
  <c r="AC140" i="4"/>
  <c r="AD140" i="4"/>
  <c r="AC84" i="4"/>
  <c r="AE84" i="4" s="1"/>
  <c r="AD84" i="4"/>
  <c r="AC36" i="4"/>
  <c r="AE36" i="4" s="1"/>
  <c r="AD36" i="4"/>
  <c r="AC163" i="4"/>
  <c r="AE163" i="4" s="1"/>
  <c r="AD163" i="4"/>
  <c r="AC115" i="4"/>
  <c r="AD115" i="4"/>
  <c r="AC59" i="4"/>
  <c r="AE59" i="4" s="1"/>
  <c r="AD59" i="4"/>
  <c r="AC199" i="4"/>
  <c r="AE199" i="4" s="1"/>
  <c r="AD199" i="4"/>
  <c r="AC175" i="4"/>
  <c r="AE175" i="4" s="1"/>
  <c r="AD175" i="4"/>
  <c r="AC143" i="4"/>
  <c r="AD143" i="4"/>
  <c r="AC119" i="4"/>
  <c r="AE119" i="4" s="1"/>
  <c r="AD119" i="4"/>
  <c r="AC87" i="4"/>
  <c r="AE87" i="4" s="1"/>
  <c r="AD87" i="4"/>
  <c r="AC47" i="4"/>
  <c r="AE47" i="4" s="1"/>
  <c r="AD47" i="4"/>
  <c r="AC198" i="4"/>
  <c r="AD198" i="4"/>
  <c r="AC174" i="4"/>
  <c r="AE174" i="4" s="1"/>
  <c r="AD174" i="4"/>
  <c r="AC158" i="4"/>
  <c r="AE158" i="4" s="1"/>
  <c r="AD158" i="4"/>
  <c r="AC142" i="4"/>
  <c r="AE142" i="4" s="1"/>
  <c r="AD142" i="4"/>
  <c r="AC126" i="4"/>
  <c r="AD126" i="4"/>
  <c r="AC110" i="4"/>
  <c r="AE110" i="4" s="1"/>
  <c r="AD110" i="4"/>
  <c r="AC102" i="4"/>
  <c r="AE102" i="4" s="1"/>
  <c r="AD102" i="4"/>
  <c r="AC94" i="4"/>
  <c r="AE94" i="4" s="1"/>
  <c r="AD94" i="4"/>
  <c r="AC86" i="4"/>
  <c r="AD86" i="4"/>
  <c r="AC70" i="4"/>
  <c r="AE70" i="4" s="1"/>
  <c r="AD70" i="4"/>
  <c r="AC62" i="4"/>
  <c r="AE62" i="4" s="1"/>
  <c r="AD62" i="4"/>
  <c r="AC54" i="4"/>
  <c r="AE54" i="4" s="1"/>
  <c r="AD54" i="4"/>
  <c r="AC46" i="4"/>
  <c r="AD46" i="4"/>
  <c r="AC38" i="4"/>
  <c r="AE38" i="4" s="1"/>
  <c r="AD38" i="4"/>
  <c r="AC30" i="4"/>
  <c r="AE30" i="4" s="1"/>
  <c r="AD30" i="4"/>
  <c r="AC22" i="4"/>
  <c r="AE22" i="4" s="1"/>
  <c r="AD22" i="4"/>
  <c r="AC14" i="4"/>
  <c r="AD14" i="4"/>
  <c r="AD9" i="4"/>
  <c r="N20" i="4" s="1"/>
  <c r="AC9" i="4"/>
  <c r="AD8" i="4"/>
  <c r="N3" i="4" s="1"/>
  <c r="AC8" i="4"/>
  <c r="AC11" i="4"/>
  <c r="AD11" i="4"/>
  <c r="AC10" i="4"/>
  <c r="AD10" i="4"/>
  <c r="G161" i="4"/>
  <c r="K161" i="4"/>
  <c r="B15" i="10"/>
  <c r="C79" i="11"/>
  <c r="B25" i="10"/>
  <c r="C89" i="11"/>
  <c r="B35" i="10"/>
  <c r="C99" i="11"/>
  <c r="B32" i="10"/>
  <c r="C96" i="11"/>
  <c r="B16" i="10"/>
  <c r="C80" i="11"/>
  <c r="B26" i="10"/>
  <c r="C90" i="11"/>
  <c r="B36" i="10"/>
  <c r="C100" i="11"/>
  <c r="B38" i="10"/>
  <c r="C102" i="11"/>
  <c r="B17" i="10"/>
  <c r="C81" i="11"/>
  <c r="B31" i="10"/>
  <c r="C95" i="11"/>
  <c r="B28" i="10"/>
  <c r="C92" i="11"/>
  <c r="B8" i="10"/>
  <c r="C72" i="11"/>
  <c r="B19" i="10"/>
  <c r="C83" i="11"/>
  <c r="B14" i="10"/>
  <c r="C78" i="11"/>
  <c r="B9" i="10"/>
  <c r="C73" i="11"/>
  <c r="B20" i="10"/>
  <c r="C84" i="11"/>
  <c r="B30" i="10"/>
  <c r="C94" i="11"/>
  <c r="B18" i="10"/>
  <c r="C82" i="11"/>
  <c r="B13" i="10"/>
  <c r="C77" i="11"/>
  <c r="B22" i="10"/>
  <c r="C86" i="11"/>
  <c r="B37" i="10"/>
  <c r="C101" i="11"/>
  <c r="B23" i="10"/>
  <c r="C87" i="11"/>
  <c r="F120" i="4"/>
  <c r="G120" i="4" s="1"/>
  <c r="N76" i="4"/>
  <c r="N2" i="4"/>
  <c r="L76" i="4"/>
  <c r="V11" i="4"/>
  <c r="Y11" i="4" s="1"/>
  <c r="AA11" i="4"/>
  <c r="T4" i="4"/>
  <c r="T10" i="4"/>
  <c r="T8" i="4"/>
  <c r="R5" i="3"/>
  <c r="S5" i="3" s="1"/>
  <c r="T5" i="3" s="1"/>
  <c r="R3" i="3"/>
  <c r="S3" i="3" s="1"/>
  <c r="T3" i="3" s="1"/>
  <c r="U3" i="3" s="1"/>
  <c r="R4" i="3"/>
  <c r="S4" i="3" s="1"/>
  <c r="T4" i="3" s="1"/>
  <c r="U4" i="3" s="1"/>
  <c r="R2" i="3"/>
  <c r="S2" i="3" s="1"/>
  <c r="T2" i="3" s="1"/>
  <c r="U2" i="3" s="1"/>
  <c r="V2" i="3" s="1"/>
  <c r="AE9" i="4" l="1"/>
  <c r="AE25" i="4"/>
  <c r="AE57" i="4"/>
  <c r="AE89" i="4"/>
  <c r="AE121" i="4"/>
  <c r="AE153" i="4"/>
  <c r="AE185" i="4"/>
  <c r="AE14" i="4"/>
  <c r="AE46" i="4"/>
  <c r="AE126" i="4"/>
  <c r="AE198" i="4"/>
  <c r="AE143" i="4"/>
  <c r="AE115" i="4"/>
  <c r="AE140" i="4"/>
  <c r="AE55" i="4"/>
  <c r="AE127" i="4"/>
  <c r="AE27" i="4"/>
  <c r="AE20" i="4"/>
  <c r="AE164" i="4"/>
  <c r="AE32" i="4"/>
  <c r="AE64" i="4"/>
  <c r="AE96" i="4"/>
  <c r="AE128" i="4"/>
  <c r="AE160" i="4"/>
  <c r="AE192" i="4"/>
  <c r="AE195" i="4"/>
  <c r="AE148" i="4"/>
  <c r="AE42" i="4"/>
  <c r="AE82" i="4"/>
  <c r="AE122" i="4"/>
  <c r="AE162" i="4"/>
  <c r="AE202" i="4"/>
  <c r="AE171" i="4"/>
  <c r="AE18" i="4"/>
  <c r="AE170" i="4"/>
  <c r="AE155" i="4"/>
  <c r="AE196" i="4"/>
  <c r="AE37" i="4"/>
  <c r="AE69" i="4"/>
  <c r="AE101" i="4"/>
  <c r="AE133" i="4"/>
  <c r="AE165" i="4"/>
  <c r="AE197" i="4"/>
  <c r="AE150" i="4"/>
  <c r="AE39" i="4"/>
  <c r="AE135" i="4"/>
  <c r="AE43" i="4"/>
  <c r="AE52" i="4"/>
  <c r="AE86" i="4"/>
  <c r="AE41" i="4"/>
  <c r="AE73" i="4"/>
  <c r="AE105" i="4"/>
  <c r="AE137" i="4"/>
  <c r="AE169" i="4"/>
  <c r="AE201" i="4"/>
  <c r="AE71" i="4"/>
  <c r="AE159" i="4"/>
  <c r="AE91" i="4"/>
  <c r="AE108" i="4"/>
  <c r="AE17" i="4"/>
  <c r="AE49" i="4"/>
  <c r="AE81" i="4"/>
  <c r="AE113" i="4"/>
  <c r="AE145" i="4"/>
  <c r="AE177" i="4"/>
  <c r="AE117" i="4"/>
  <c r="AE149" i="4"/>
  <c r="AE181" i="4"/>
  <c r="AE118" i="4"/>
  <c r="AE182" i="4"/>
  <c r="AE95" i="4"/>
  <c r="AE183" i="4"/>
  <c r="AE139" i="4"/>
  <c r="AE172" i="4"/>
  <c r="AE11" i="4"/>
  <c r="M3" i="4"/>
  <c r="AE8" i="4"/>
  <c r="M173" i="4"/>
  <c r="AE10" i="4"/>
  <c r="U5" i="3"/>
  <c r="V5" i="3" s="1"/>
  <c r="X5" i="3" s="1"/>
  <c r="AL2" i="4" s="1"/>
  <c r="AA8" i="4"/>
  <c r="V4" i="3"/>
  <c r="X4" i="3" s="1"/>
  <c r="V3" i="3"/>
  <c r="X3" i="3" s="1"/>
  <c r="X2" i="3"/>
  <c r="AK2" i="4" l="1"/>
  <c r="AJ2" i="4" l="1"/>
  <c r="P25" i="3"/>
  <c r="P26" i="3"/>
  <c r="P27" i="3"/>
  <c r="P28" i="3"/>
  <c r="P29" i="3"/>
  <c r="P24" i="3"/>
  <c r="N24" i="3"/>
  <c r="N25" i="3"/>
  <c r="N26" i="3"/>
  <c r="N27" i="3"/>
  <c r="N28" i="3"/>
  <c r="N29" i="3"/>
  <c r="N23" i="3"/>
  <c r="O16" i="3"/>
  <c r="O17" i="3" s="1"/>
  <c r="O2" i="3" s="1"/>
  <c r="N3" i="3"/>
  <c r="N4" i="3"/>
  <c r="N5" i="3"/>
  <c r="N6" i="3"/>
  <c r="N7" i="3"/>
  <c r="N8" i="3"/>
  <c r="M8" i="3"/>
  <c r="M7" i="3"/>
  <c r="M6" i="3"/>
  <c r="M5" i="3"/>
  <c r="M4" i="3"/>
  <c r="M3" i="3"/>
  <c r="G20" i="11" l="1"/>
  <c r="I41" i="5"/>
  <c r="O7" i="3"/>
  <c r="O6" i="3"/>
  <c r="O4" i="3"/>
  <c r="O8" i="3"/>
  <c r="O5" i="3"/>
  <c r="O3" i="3"/>
  <c r="W3" i="3"/>
  <c r="W4" i="3"/>
  <c r="W5" i="3"/>
  <c r="W2" i="3"/>
  <c r="AI2" i="4"/>
  <c r="E1" i="6" s="1"/>
  <c r="E17" i="11" s="1"/>
  <c r="AB7" i="4"/>
  <c r="AB4" i="4"/>
  <c r="AB5" i="4"/>
  <c r="AB3" i="4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W17" i="4"/>
  <c r="X17" i="4" s="1"/>
  <c r="W18" i="4"/>
  <c r="X18" i="4" s="1"/>
  <c r="W19" i="4"/>
  <c r="X19" i="4" s="1"/>
  <c r="W20" i="4"/>
  <c r="X20" i="4" s="1"/>
  <c r="W21" i="4"/>
  <c r="X21" i="4" s="1"/>
  <c r="W22" i="4"/>
  <c r="X22" i="4" s="1"/>
  <c r="W23" i="4"/>
  <c r="X23" i="4" s="1"/>
  <c r="W24" i="4"/>
  <c r="X24" i="4" s="1"/>
  <c r="W25" i="4"/>
  <c r="X25" i="4" s="1"/>
  <c r="W26" i="4"/>
  <c r="X26" i="4" s="1"/>
  <c r="W27" i="4"/>
  <c r="X27" i="4" s="1"/>
  <c r="W28" i="4"/>
  <c r="X28" i="4" s="1"/>
  <c r="W29" i="4"/>
  <c r="X29" i="4" s="1"/>
  <c r="W30" i="4"/>
  <c r="X30" i="4" s="1"/>
  <c r="W31" i="4"/>
  <c r="X31" i="4" s="1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X39" i="4" s="1"/>
  <c r="W40" i="4"/>
  <c r="X40" i="4" s="1"/>
  <c r="W41" i="4"/>
  <c r="X41" i="4" s="1"/>
  <c r="W42" i="4"/>
  <c r="X42" i="4" s="1"/>
  <c r="W43" i="4"/>
  <c r="X43" i="4" s="1"/>
  <c r="W44" i="4"/>
  <c r="X44" i="4" s="1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51" i="4"/>
  <c r="X51" i="4" s="1"/>
  <c r="W52" i="4"/>
  <c r="X52" i="4" s="1"/>
  <c r="W53" i="4"/>
  <c r="X53" i="4" s="1"/>
  <c r="W54" i="4"/>
  <c r="X54" i="4" s="1"/>
  <c r="W55" i="4"/>
  <c r="X55" i="4" s="1"/>
  <c r="W56" i="4"/>
  <c r="X56" i="4" s="1"/>
  <c r="W57" i="4"/>
  <c r="X57" i="4" s="1"/>
  <c r="W58" i="4"/>
  <c r="X58" i="4" s="1"/>
  <c r="W59" i="4"/>
  <c r="X59" i="4" s="1"/>
  <c r="W60" i="4"/>
  <c r="X60" i="4" s="1"/>
  <c r="W61" i="4"/>
  <c r="X61" i="4" s="1"/>
  <c r="W62" i="4"/>
  <c r="X62" i="4" s="1"/>
  <c r="W63" i="4"/>
  <c r="X63" i="4" s="1"/>
  <c r="W64" i="4"/>
  <c r="X64" i="4" s="1"/>
  <c r="W65" i="4"/>
  <c r="X65" i="4" s="1"/>
  <c r="W66" i="4"/>
  <c r="X66" i="4" s="1"/>
  <c r="W67" i="4"/>
  <c r="X67" i="4" s="1"/>
  <c r="W68" i="4"/>
  <c r="X68" i="4" s="1"/>
  <c r="W69" i="4"/>
  <c r="X69" i="4" s="1"/>
  <c r="W70" i="4"/>
  <c r="X70" i="4" s="1"/>
  <c r="W71" i="4"/>
  <c r="X71" i="4" s="1"/>
  <c r="W72" i="4"/>
  <c r="X72" i="4" s="1"/>
  <c r="W73" i="4"/>
  <c r="X73" i="4" s="1"/>
  <c r="W74" i="4"/>
  <c r="X74" i="4" s="1"/>
  <c r="W75" i="4"/>
  <c r="X75" i="4" s="1"/>
  <c r="W76" i="4"/>
  <c r="X76" i="4" s="1"/>
  <c r="W77" i="4"/>
  <c r="X77" i="4" s="1"/>
  <c r="W78" i="4"/>
  <c r="X78" i="4" s="1"/>
  <c r="W79" i="4"/>
  <c r="X79" i="4" s="1"/>
  <c r="W80" i="4"/>
  <c r="X80" i="4" s="1"/>
  <c r="W81" i="4"/>
  <c r="X81" i="4" s="1"/>
  <c r="W82" i="4"/>
  <c r="X82" i="4" s="1"/>
  <c r="W83" i="4"/>
  <c r="X83" i="4" s="1"/>
  <c r="W84" i="4"/>
  <c r="X84" i="4" s="1"/>
  <c r="W85" i="4"/>
  <c r="X85" i="4" s="1"/>
  <c r="W86" i="4"/>
  <c r="X86" i="4" s="1"/>
  <c r="W87" i="4"/>
  <c r="X87" i="4" s="1"/>
  <c r="W88" i="4"/>
  <c r="X88" i="4" s="1"/>
  <c r="W89" i="4"/>
  <c r="X89" i="4" s="1"/>
  <c r="W90" i="4"/>
  <c r="X90" i="4" s="1"/>
  <c r="W91" i="4"/>
  <c r="X91" i="4" s="1"/>
  <c r="W92" i="4"/>
  <c r="X92" i="4" s="1"/>
  <c r="W93" i="4"/>
  <c r="X93" i="4" s="1"/>
  <c r="W94" i="4"/>
  <c r="X94" i="4" s="1"/>
  <c r="W95" i="4"/>
  <c r="X95" i="4" s="1"/>
  <c r="W96" i="4"/>
  <c r="X96" i="4" s="1"/>
  <c r="W97" i="4"/>
  <c r="X97" i="4" s="1"/>
  <c r="W98" i="4"/>
  <c r="X98" i="4" s="1"/>
  <c r="W99" i="4"/>
  <c r="X99" i="4" s="1"/>
  <c r="W100" i="4"/>
  <c r="X100" i="4" s="1"/>
  <c r="W101" i="4"/>
  <c r="X101" i="4" s="1"/>
  <c r="W102" i="4"/>
  <c r="X102" i="4" s="1"/>
  <c r="W103" i="4"/>
  <c r="X103" i="4" s="1"/>
  <c r="W104" i="4"/>
  <c r="X104" i="4" s="1"/>
  <c r="W105" i="4"/>
  <c r="X105" i="4" s="1"/>
  <c r="W106" i="4"/>
  <c r="X106" i="4" s="1"/>
  <c r="W107" i="4"/>
  <c r="X107" i="4" s="1"/>
  <c r="W108" i="4"/>
  <c r="X108" i="4" s="1"/>
  <c r="W109" i="4"/>
  <c r="X109" i="4" s="1"/>
  <c r="W110" i="4"/>
  <c r="X110" i="4" s="1"/>
  <c r="W111" i="4"/>
  <c r="X111" i="4" s="1"/>
  <c r="W112" i="4"/>
  <c r="X112" i="4" s="1"/>
  <c r="W113" i="4"/>
  <c r="X113" i="4" s="1"/>
  <c r="W114" i="4"/>
  <c r="X114" i="4" s="1"/>
  <c r="W115" i="4"/>
  <c r="X115" i="4" s="1"/>
  <c r="W116" i="4"/>
  <c r="X116" i="4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4" i="4"/>
  <c r="W5" i="4"/>
  <c r="W7" i="4"/>
  <c r="W8" i="4"/>
  <c r="X8" i="4" s="1"/>
  <c r="L3" i="4" s="1"/>
  <c r="W9" i="4"/>
  <c r="X9" i="4" s="1"/>
  <c r="W10" i="4"/>
  <c r="X10" i="4" s="1"/>
  <c r="L173" i="4" s="1"/>
  <c r="W3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1" i="5"/>
  <c r="A32" i="5"/>
  <c r="A33" i="5"/>
  <c r="A34" i="5"/>
  <c r="A35" i="5"/>
  <c r="A2" i="5"/>
  <c r="A160" i="4"/>
  <c r="A159" i="4"/>
  <c r="A158" i="4"/>
  <c r="A157" i="4"/>
  <c r="A156" i="4"/>
  <c r="A155" i="4"/>
  <c r="A153" i="4"/>
  <c r="A154" i="4"/>
  <c r="A152" i="4"/>
  <c r="A150" i="4"/>
  <c r="A151" i="4"/>
  <c r="A149" i="4"/>
  <c r="A125" i="4"/>
  <c r="A124" i="4"/>
  <c r="A123" i="4"/>
  <c r="A122" i="4"/>
  <c r="A121" i="4"/>
  <c r="A120" i="4"/>
  <c r="A119" i="4"/>
  <c r="A118" i="4"/>
  <c r="A116" i="4"/>
  <c r="A117" i="4"/>
  <c r="A115" i="4"/>
  <c r="A114" i="4"/>
  <c r="A113" i="4"/>
  <c r="A112" i="4"/>
  <c r="A111" i="4"/>
  <c r="A107" i="4"/>
  <c r="A108" i="4"/>
  <c r="A109" i="4"/>
  <c r="A110" i="4"/>
  <c r="A106" i="4"/>
  <c r="A105" i="4"/>
  <c r="A103" i="4"/>
  <c r="A104" i="4"/>
  <c r="A102" i="4"/>
  <c r="A99" i="4"/>
  <c r="A100" i="4"/>
  <c r="A101" i="4"/>
  <c r="A98" i="4"/>
  <c r="A92" i="4"/>
  <c r="A93" i="4"/>
  <c r="A94" i="4"/>
  <c r="A95" i="4"/>
  <c r="A96" i="4"/>
  <c r="A97" i="4"/>
  <c r="A91" i="4"/>
  <c r="A89" i="4"/>
  <c r="A90" i="4"/>
  <c r="A88" i="4"/>
  <c r="A84" i="4"/>
  <c r="A85" i="4"/>
  <c r="A86" i="4"/>
  <c r="A87" i="4"/>
  <c r="A83" i="4"/>
  <c r="A78" i="4"/>
  <c r="A79" i="4"/>
  <c r="A80" i="4"/>
  <c r="A81" i="4"/>
  <c r="A82" i="4"/>
  <c r="A77" i="4"/>
  <c r="A76" i="4"/>
  <c r="A71" i="4"/>
  <c r="A72" i="4"/>
  <c r="A73" i="4"/>
  <c r="A74" i="4"/>
  <c r="A75" i="4"/>
  <c r="A70" i="4"/>
  <c r="A63" i="4"/>
  <c r="A64" i="4"/>
  <c r="A65" i="4"/>
  <c r="A66" i="4"/>
  <c r="A67" i="4"/>
  <c r="A68" i="4"/>
  <c r="A69" i="4"/>
  <c r="A62" i="4"/>
  <c r="G76" i="4"/>
  <c r="K4" i="2"/>
  <c r="K5" i="2"/>
  <c r="Q15" i="5" s="1"/>
  <c r="K6" i="2"/>
  <c r="K7" i="2"/>
  <c r="K8" i="2"/>
  <c r="K9" i="2"/>
  <c r="K10" i="2"/>
  <c r="N23" i="5" s="1"/>
  <c r="B91" i="11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Q4" i="4"/>
  <c r="Q5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3" i="4"/>
  <c r="T3" i="4" s="1"/>
  <c r="O201" i="4"/>
  <c r="O202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4" i="4"/>
  <c r="O5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2" i="4"/>
  <c r="O83" i="4"/>
  <c r="O84" i="4"/>
  <c r="O85" i="4"/>
  <c r="O86" i="4"/>
  <c r="O87" i="4"/>
  <c r="O88" i="4"/>
  <c r="O89" i="4"/>
  <c r="O90" i="4"/>
  <c r="O91" i="4"/>
  <c r="O92" i="4"/>
  <c r="O93" i="4"/>
  <c r="O3" i="4"/>
  <c r="K3" i="2"/>
  <c r="Q10" i="5" s="1"/>
  <c r="J63" i="4"/>
  <c r="J65" i="4"/>
  <c r="J66" i="4"/>
  <c r="J67" i="4"/>
  <c r="J68" i="4"/>
  <c r="J69" i="4"/>
  <c r="J70" i="4"/>
  <c r="J71" i="4"/>
  <c r="J72" i="4"/>
  <c r="K72" i="4" s="1"/>
  <c r="J73" i="4"/>
  <c r="K73" i="4" s="1"/>
  <c r="J74" i="4"/>
  <c r="K74" i="4" s="1"/>
  <c r="J75" i="4"/>
  <c r="K75" i="4" s="1"/>
  <c r="J76" i="4"/>
  <c r="V6" i="4" s="1"/>
  <c r="J78" i="4"/>
  <c r="K78" i="4" s="1"/>
  <c r="J79" i="4"/>
  <c r="K79" i="4" s="1"/>
  <c r="J80" i="4"/>
  <c r="K80" i="4" s="1"/>
  <c r="J81" i="4"/>
  <c r="K81" i="4" s="1"/>
  <c r="J82" i="4"/>
  <c r="K82" i="4" s="1"/>
  <c r="J84" i="4"/>
  <c r="U5" i="4" s="1"/>
  <c r="J85" i="4"/>
  <c r="K85" i="4" s="1"/>
  <c r="J86" i="4"/>
  <c r="K86" i="4" s="1"/>
  <c r="J87" i="4"/>
  <c r="K87" i="4" s="1"/>
  <c r="J88" i="4"/>
  <c r="K88" i="4" s="1"/>
  <c r="J89" i="4"/>
  <c r="K89" i="4" s="1"/>
  <c r="J92" i="4"/>
  <c r="K92" i="4" s="1"/>
  <c r="J93" i="4"/>
  <c r="K93" i="4" s="1"/>
  <c r="J94" i="4"/>
  <c r="K94" i="4" s="1"/>
  <c r="J95" i="4"/>
  <c r="K95" i="4" s="1"/>
  <c r="J96" i="4"/>
  <c r="K96" i="4" s="1"/>
  <c r="J97" i="4"/>
  <c r="K97" i="4" s="1"/>
  <c r="J99" i="4"/>
  <c r="K99" i="4" s="1"/>
  <c r="J103" i="4"/>
  <c r="K103" i="4" s="1"/>
  <c r="J104" i="4"/>
  <c r="K104" i="4" s="1"/>
  <c r="J105" i="4"/>
  <c r="K105" i="4" s="1"/>
  <c r="J106" i="4"/>
  <c r="K106" i="4" s="1"/>
  <c r="J107" i="4"/>
  <c r="K107" i="4" s="1"/>
  <c r="J108" i="4"/>
  <c r="K108" i="4" s="1"/>
  <c r="J109" i="4"/>
  <c r="K109" i="4" s="1"/>
  <c r="J110" i="4"/>
  <c r="K110" i="4" s="1"/>
  <c r="J111" i="4"/>
  <c r="K111" i="4" s="1"/>
  <c r="J112" i="4"/>
  <c r="K112" i="4" s="1"/>
  <c r="J113" i="4"/>
  <c r="K113" i="4" s="1"/>
  <c r="J114" i="4"/>
  <c r="K114" i="4" s="1"/>
  <c r="J115" i="4"/>
  <c r="K115" i="4" s="1"/>
  <c r="J116" i="4"/>
  <c r="K116" i="4" s="1"/>
  <c r="J117" i="4"/>
  <c r="K117" i="4" s="1"/>
  <c r="J118" i="4"/>
  <c r="K118" i="4" s="1"/>
  <c r="J119" i="4"/>
  <c r="K119" i="4" s="1"/>
  <c r="J120" i="4"/>
  <c r="J121" i="4"/>
  <c r="K121" i="4" s="1"/>
  <c r="J122" i="4"/>
  <c r="K122" i="4" s="1"/>
  <c r="J123" i="4"/>
  <c r="K123" i="4" s="1"/>
  <c r="J124" i="4"/>
  <c r="K124" i="4" s="1"/>
  <c r="J125" i="4"/>
  <c r="K125" i="4" s="1"/>
  <c r="J149" i="4"/>
  <c r="K149" i="4" s="1"/>
  <c r="J150" i="4"/>
  <c r="K150" i="4" s="1"/>
  <c r="J151" i="4"/>
  <c r="K151" i="4" s="1"/>
  <c r="J152" i="4"/>
  <c r="J153" i="4"/>
  <c r="K153" i="4" s="1"/>
  <c r="J154" i="4"/>
  <c r="K154" i="4" s="1"/>
  <c r="J155" i="4"/>
  <c r="K155" i="4" s="1"/>
  <c r="J156" i="4"/>
  <c r="K156" i="4" s="1"/>
  <c r="J157" i="4"/>
  <c r="K157" i="4" s="1"/>
  <c r="J158" i="4"/>
  <c r="K158" i="4" s="1"/>
  <c r="J159" i="4"/>
  <c r="K159" i="4" s="1"/>
  <c r="J160" i="4"/>
  <c r="K160" i="4" s="1"/>
  <c r="J2" i="4"/>
  <c r="K2" i="4" s="1"/>
  <c r="E91" i="4"/>
  <c r="G91" i="4" s="1"/>
  <c r="A78" i="5"/>
  <c r="A79" i="5"/>
  <c r="A80" i="5"/>
  <c r="A81" i="5"/>
  <c r="A82" i="5"/>
  <c r="A83" i="5"/>
  <c r="A84" i="5"/>
  <c r="A85" i="5"/>
  <c r="A86" i="5"/>
  <c r="A87" i="5"/>
  <c r="A88" i="5"/>
  <c r="A89" i="5"/>
  <c r="A1" i="5"/>
  <c r="D4" i="6" l="1"/>
  <c r="D20" i="11" s="1"/>
  <c r="B4" i="6"/>
  <c r="AC7" i="4"/>
  <c r="AD7" i="4"/>
  <c r="N63" i="4" s="1"/>
  <c r="B30" i="5"/>
  <c r="E30" i="5"/>
  <c r="C30" i="5"/>
  <c r="D30" i="5"/>
  <c r="Q11" i="5"/>
  <c r="Q39" i="5" s="1"/>
  <c r="N25" i="5"/>
  <c r="B119" i="11"/>
  <c r="B14" i="8"/>
  <c r="B19" i="8"/>
  <c r="B124" i="11"/>
  <c r="N17" i="5"/>
  <c r="O17" i="5" s="1"/>
  <c r="N3" i="5"/>
  <c r="L105" i="4"/>
  <c r="L161" i="4"/>
  <c r="L117" i="4"/>
  <c r="C17" i="5" s="1"/>
  <c r="L113" i="4"/>
  <c r="C15" i="5" s="1"/>
  <c r="A60" i="11"/>
  <c r="A103" i="11"/>
  <c r="A99" i="11"/>
  <c r="A56" i="11"/>
  <c r="A43" i="11"/>
  <c r="A86" i="11"/>
  <c r="A35" i="11"/>
  <c r="A78" i="11"/>
  <c r="A102" i="11"/>
  <c r="A59" i="11"/>
  <c r="A54" i="11"/>
  <c r="A97" i="11"/>
  <c r="A93" i="11"/>
  <c r="A50" i="11"/>
  <c r="A46" i="11"/>
  <c r="A89" i="11"/>
  <c r="A85" i="11"/>
  <c r="A42" i="11"/>
  <c r="A81" i="11"/>
  <c r="A38" i="11"/>
  <c r="A77" i="11"/>
  <c r="A34" i="11"/>
  <c r="A73" i="11"/>
  <c r="A30" i="11"/>
  <c r="A47" i="11"/>
  <c r="A90" i="11"/>
  <c r="A31" i="11"/>
  <c r="A74" i="11"/>
  <c r="A101" i="11"/>
  <c r="A58" i="11"/>
  <c r="A96" i="11"/>
  <c r="A53" i="11"/>
  <c r="A92" i="11"/>
  <c r="A49" i="11"/>
  <c r="A88" i="11"/>
  <c r="A45" i="11"/>
  <c r="A84" i="11"/>
  <c r="A41" i="11"/>
  <c r="A80" i="11"/>
  <c r="A37" i="11"/>
  <c r="A76" i="11"/>
  <c r="A33" i="11"/>
  <c r="A72" i="11"/>
  <c r="A29" i="11"/>
  <c r="A51" i="11"/>
  <c r="A94" i="11"/>
  <c r="A82" i="11"/>
  <c r="A39" i="11"/>
  <c r="A27" i="11"/>
  <c r="A70" i="11"/>
  <c r="A100" i="11"/>
  <c r="A57" i="11"/>
  <c r="A95" i="11"/>
  <c r="A52" i="11"/>
  <c r="A91" i="11"/>
  <c r="A48" i="11"/>
  <c r="A87" i="11"/>
  <c r="A44" i="11"/>
  <c r="A83" i="11"/>
  <c r="A40" i="11"/>
  <c r="A79" i="11"/>
  <c r="A36" i="11"/>
  <c r="A75" i="11"/>
  <c r="A32" i="11"/>
  <c r="A71" i="11"/>
  <c r="A28" i="11"/>
  <c r="B36" i="5"/>
  <c r="D36" i="5"/>
  <c r="C36" i="5"/>
  <c r="E36" i="5"/>
  <c r="B38" i="5"/>
  <c r="E37" i="5"/>
  <c r="D37" i="5"/>
  <c r="D38" i="5"/>
  <c r="E38" i="5"/>
  <c r="B27" i="7"/>
  <c r="O23" i="5"/>
  <c r="T9" i="4"/>
  <c r="V9" i="4" s="1"/>
  <c r="Y9" i="4" s="1"/>
  <c r="F20" i="4"/>
  <c r="L29" i="4"/>
  <c r="C38" i="5" s="1"/>
  <c r="L20" i="4"/>
  <c r="C37" i="5" s="1"/>
  <c r="U8" i="4"/>
  <c r="V8" i="4" s="1"/>
  <c r="Y8" i="4" s="1"/>
  <c r="A33" i="10"/>
  <c r="A17" i="10"/>
  <c r="D13" i="5"/>
  <c r="C13" i="5"/>
  <c r="E13" i="5"/>
  <c r="A37" i="10"/>
  <c r="C33" i="5"/>
  <c r="E33" i="5"/>
  <c r="D33" i="5"/>
  <c r="A32" i="10"/>
  <c r="C28" i="5"/>
  <c r="E28" i="5"/>
  <c r="D28" i="5"/>
  <c r="A28" i="10"/>
  <c r="C24" i="5"/>
  <c r="E24" i="5"/>
  <c r="D24" i="5"/>
  <c r="A24" i="10"/>
  <c r="A20" i="10"/>
  <c r="C16" i="5"/>
  <c r="E16" i="5"/>
  <c r="D16" i="5"/>
  <c r="A16" i="10"/>
  <c r="C12" i="5"/>
  <c r="E12" i="5"/>
  <c r="D12" i="5"/>
  <c r="A12" i="10"/>
  <c r="A8" i="10"/>
  <c r="C4" i="5"/>
  <c r="E4" i="5"/>
  <c r="D4" i="5"/>
  <c r="A29" i="10"/>
  <c r="D25" i="5"/>
  <c r="C25" i="5"/>
  <c r="E25" i="5"/>
  <c r="A21" i="10"/>
  <c r="D17" i="5"/>
  <c r="E17" i="5"/>
  <c r="A9" i="10"/>
  <c r="D5" i="5"/>
  <c r="C5" i="5"/>
  <c r="E5" i="5"/>
  <c r="B4" i="5"/>
  <c r="B8" i="5"/>
  <c r="B12" i="5"/>
  <c r="B16" i="5"/>
  <c r="B20" i="5"/>
  <c r="B24" i="5"/>
  <c r="B28" i="5"/>
  <c r="B33" i="5"/>
  <c r="B15" i="5"/>
  <c r="B13" i="5"/>
  <c r="B21" i="5"/>
  <c r="B25" i="5"/>
  <c r="B29" i="5"/>
  <c r="B34" i="5"/>
  <c r="B23" i="5"/>
  <c r="B14" i="5"/>
  <c r="B18" i="5"/>
  <c r="B22" i="5"/>
  <c r="B31" i="5"/>
  <c r="B35" i="5"/>
  <c r="B7" i="5"/>
  <c r="B19" i="5"/>
  <c r="B32" i="5"/>
  <c r="A6" i="7"/>
  <c r="A6" i="10"/>
  <c r="A36" i="10"/>
  <c r="E32" i="5"/>
  <c r="D32" i="5"/>
  <c r="C32" i="5"/>
  <c r="A31" i="10"/>
  <c r="E27" i="5"/>
  <c r="D27" i="5"/>
  <c r="A27" i="10"/>
  <c r="E23" i="5"/>
  <c r="D23" i="5"/>
  <c r="C23" i="5"/>
  <c r="A23" i="10"/>
  <c r="E19" i="5"/>
  <c r="D19" i="5"/>
  <c r="C19" i="5"/>
  <c r="A19" i="10"/>
  <c r="E15" i="5"/>
  <c r="D15" i="5"/>
  <c r="A15" i="10"/>
  <c r="E11" i="5"/>
  <c r="D11" i="5"/>
  <c r="C11" i="5"/>
  <c r="A11" i="10"/>
  <c r="A7" i="7"/>
  <c r="A7" i="10"/>
  <c r="A38" i="10"/>
  <c r="D34" i="5"/>
  <c r="C34" i="5"/>
  <c r="E34" i="5"/>
  <c r="A25" i="10"/>
  <c r="D21" i="5"/>
  <c r="C21" i="5"/>
  <c r="E21" i="5"/>
  <c r="A13" i="10"/>
  <c r="D9" i="5"/>
  <c r="C9" i="5"/>
  <c r="E9" i="5"/>
  <c r="A39" i="10"/>
  <c r="E35" i="5"/>
  <c r="A35" i="10"/>
  <c r="E31" i="5"/>
  <c r="D31" i="5"/>
  <c r="C31" i="5"/>
  <c r="A30" i="10"/>
  <c r="E26" i="5"/>
  <c r="D26" i="5"/>
  <c r="C26" i="5"/>
  <c r="A26" i="10"/>
  <c r="E22" i="5"/>
  <c r="D22" i="5"/>
  <c r="C22" i="5"/>
  <c r="A22" i="10"/>
  <c r="E18" i="5"/>
  <c r="D18" i="5"/>
  <c r="C18" i="5"/>
  <c r="A18" i="10"/>
  <c r="E14" i="5"/>
  <c r="D14" i="5"/>
  <c r="C14" i="5"/>
  <c r="A14" i="10"/>
  <c r="E10" i="5"/>
  <c r="D10" i="5"/>
  <c r="C10" i="5"/>
  <c r="A10" i="10"/>
  <c r="B12" i="8"/>
  <c r="N35" i="5"/>
  <c r="B103" i="11" s="1"/>
  <c r="T5" i="4"/>
  <c r="F84" i="4"/>
  <c r="G84" i="4" s="1"/>
  <c r="T7" i="5"/>
  <c r="L156" i="4"/>
  <c r="C29" i="5" s="1"/>
  <c r="T6" i="5"/>
  <c r="N8" i="5"/>
  <c r="B76" i="11" s="1"/>
  <c r="Y6" i="4"/>
  <c r="AC6" i="4" s="1"/>
  <c r="M2" i="4" s="1"/>
  <c r="D35" i="5" s="1"/>
  <c r="X6" i="4"/>
  <c r="L2" i="4" s="1"/>
  <c r="C35" i="5" s="1"/>
  <c r="T2" i="5"/>
  <c r="B8" i="8"/>
  <c r="N6" i="5"/>
  <c r="B74" i="11" s="1"/>
  <c r="T4" i="5"/>
  <c r="N29" i="5"/>
  <c r="B97" i="11" s="1"/>
  <c r="T5" i="5"/>
  <c r="N20" i="5"/>
  <c r="B88" i="11" s="1"/>
  <c r="N7" i="5"/>
  <c r="B75" i="11" s="1"/>
  <c r="A25" i="7"/>
  <c r="A8" i="7"/>
  <c r="A33" i="7"/>
  <c r="A17" i="7"/>
  <c r="A9" i="7"/>
  <c r="A32" i="7"/>
  <c r="A16" i="7"/>
  <c r="A36" i="7"/>
  <c r="A31" i="7"/>
  <c r="A27" i="7"/>
  <c r="A23" i="7"/>
  <c r="A19" i="7"/>
  <c r="A15" i="7"/>
  <c r="A11" i="7"/>
  <c r="A38" i="7"/>
  <c r="A29" i="7"/>
  <c r="A21" i="7"/>
  <c r="A13" i="7"/>
  <c r="A37" i="7"/>
  <c r="A28" i="7"/>
  <c r="A24" i="7"/>
  <c r="A20" i="7"/>
  <c r="A12" i="7"/>
  <c r="A39" i="7"/>
  <c r="A35" i="7"/>
  <c r="A30" i="7"/>
  <c r="A26" i="7"/>
  <c r="A22" i="7"/>
  <c r="A18" i="7"/>
  <c r="A14" i="7"/>
  <c r="A10" i="7"/>
  <c r="T3" i="5"/>
  <c r="N2" i="5"/>
  <c r="V4" i="4"/>
  <c r="A33" i="6"/>
  <c r="A21" i="6"/>
  <c r="A17" i="6"/>
  <c r="A41" i="6"/>
  <c r="A36" i="6"/>
  <c r="A32" i="6"/>
  <c r="A28" i="6"/>
  <c r="A24" i="6"/>
  <c r="A20" i="6"/>
  <c r="A16" i="6"/>
  <c r="A12" i="6"/>
  <c r="A42" i="6"/>
  <c r="A10" i="6"/>
  <c r="A40" i="6"/>
  <c r="A35" i="6"/>
  <c r="A31" i="6"/>
  <c r="A27" i="6"/>
  <c r="A23" i="6"/>
  <c r="A19" i="6"/>
  <c r="A15" i="6"/>
  <c r="A11" i="6"/>
  <c r="A37" i="6"/>
  <c r="A29" i="6"/>
  <c r="A25" i="6"/>
  <c r="A13" i="6"/>
  <c r="A43" i="6"/>
  <c r="A39" i="6"/>
  <c r="A34" i="6"/>
  <c r="A30" i="6"/>
  <c r="A26" i="6"/>
  <c r="A22" i="6"/>
  <c r="A18" i="6"/>
  <c r="A14" i="6"/>
  <c r="K152" i="4"/>
  <c r="V10" i="4"/>
  <c r="Y10" i="4" s="1"/>
  <c r="K120" i="4"/>
  <c r="X7" i="4"/>
  <c r="L63" i="4" s="1"/>
  <c r="F63" i="4"/>
  <c r="G63" i="4" s="1"/>
  <c r="T7" i="4"/>
  <c r="F62" i="4"/>
  <c r="W6" i="3"/>
  <c r="F65" i="4"/>
  <c r="G65" i="4" s="1"/>
  <c r="L152" i="4"/>
  <c r="C27" i="5" s="1"/>
  <c r="L65" i="4"/>
  <c r="K70" i="4"/>
  <c r="K66" i="4"/>
  <c r="K69" i="4"/>
  <c r="K68" i="4"/>
  <c r="K67" i="4"/>
  <c r="AM2" i="4"/>
  <c r="K76" i="4"/>
  <c r="K71" i="4"/>
  <c r="K2" i="2"/>
  <c r="B1" i="6" s="1"/>
  <c r="E71" i="4"/>
  <c r="E70" i="4"/>
  <c r="G70" i="4" s="1"/>
  <c r="E152" i="4"/>
  <c r="E149" i="4"/>
  <c r="E115" i="4"/>
  <c r="G115" i="4" s="1"/>
  <c r="B17" i="5" s="1"/>
  <c r="E105" i="4"/>
  <c r="G105" i="4" s="1"/>
  <c r="B11" i="5" s="1"/>
  <c r="B36" i="11" s="1"/>
  <c r="H102" i="4"/>
  <c r="J102" i="4" s="1"/>
  <c r="K102" i="4" s="1"/>
  <c r="E102" i="4"/>
  <c r="G102" i="4" s="1"/>
  <c r="B10" i="5" s="1"/>
  <c r="B35" i="11" s="1"/>
  <c r="E98" i="4"/>
  <c r="G98" i="4" s="1"/>
  <c r="B9" i="5" s="1"/>
  <c r="B34" i="11" s="1"/>
  <c r="H101" i="4"/>
  <c r="J101" i="4" s="1"/>
  <c r="K101" i="4" s="1"/>
  <c r="H100" i="4"/>
  <c r="J100" i="4" s="1"/>
  <c r="K100" i="4" s="1"/>
  <c r="H91" i="4"/>
  <c r="J91" i="4" s="1"/>
  <c r="K91" i="4" s="1"/>
  <c r="H90" i="4"/>
  <c r="J90" i="4" s="1"/>
  <c r="K90" i="4" s="1"/>
  <c r="H83" i="4"/>
  <c r="J83" i="4" s="1"/>
  <c r="K83" i="4" s="1"/>
  <c r="E83" i="4"/>
  <c r="G83" i="4" s="1"/>
  <c r="H77" i="4"/>
  <c r="J77" i="4" s="1"/>
  <c r="K77" i="4" s="1"/>
  <c r="E77" i="4"/>
  <c r="G77" i="4" s="1"/>
  <c r="B5" i="5" s="1"/>
  <c r="B30" i="11" s="1"/>
  <c r="H64" i="4"/>
  <c r="E64" i="4"/>
  <c r="B17" i="11" l="1"/>
  <c r="AE7" i="4"/>
  <c r="C4" i="6"/>
  <c r="C20" i="11" s="1"/>
  <c r="B20" i="11"/>
  <c r="AN2" i="4"/>
  <c r="G40" i="5" s="1"/>
  <c r="H40" i="5" s="1"/>
  <c r="H30" i="5"/>
  <c r="B55" i="11"/>
  <c r="F30" i="5"/>
  <c r="B38" i="6"/>
  <c r="F38" i="5"/>
  <c r="B93" i="11"/>
  <c r="O25" i="5"/>
  <c r="B29" i="7"/>
  <c r="B15" i="8"/>
  <c r="B120" i="11"/>
  <c r="B132" i="11" s="1"/>
  <c r="B21" i="7"/>
  <c r="B85" i="11"/>
  <c r="B10" i="9"/>
  <c r="B140" i="11"/>
  <c r="B6" i="9"/>
  <c r="T39" i="5"/>
  <c r="B136" i="11"/>
  <c r="B7" i="9"/>
  <c r="B137" i="11"/>
  <c r="B71" i="11"/>
  <c r="O3" i="5"/>
  <c r="B7" i="7"/>
  <c r="B8" i="9"/>
  <c r="B138" i="11"/>
  <c r="B11" i="9"/>
  <c r="B141" i="11"/>
  <c r="B9" i="9"/>
  <c r="B139" i="11"/>
  <c r="N39" i="5"/>
  <c r="B70" i="11"/>
  <c r="B27" i="10"/>
  <c r="C91" i="11"/>
  <c r="B21" i="10"/>
  <c r="C85" i="11"/>
  <c r="F36" i="5"/>
  <c r="B30" i="6"/>
  <c r="B47" i="11"/>
  <c r="B21" i="6"/>
  <c r="B38" i="11"/>
  <c r="B16" i="6"/>
  <c r="B33" i="11"/>
  <c r="B26" i="6"/>
  <c r="B43" i="11"/>
  <c r="B28" i="6"/>
  <c r="B45" i="11"/>
  <c r="B43" i="6"/>
  <c r="B60" i="11"/>
  <c r="B22" i="6"/>
  <c r="B39" i="11"/>
  <c r="B33" i="6"/>
  <c r="B50" i="11"/>
  <c r="B41" i="6"/>
  <c r="B58" i="11"/>
  <c r="B24" i="6"/>
  <c r="B41" i="11"/>
  <c r="B27" i="6"/>
  <c r="B44" i="11"/>
  <c r="B42" i="6"/>
  <c r="B59" i="11"/>
  <c r="B32" i="6"/>
  <c r="B49" i="11"/>
  <c r="AA9" i="4"/>
  <c r="B15" i="6"/>
  <c r="B32" i="11"/>
  <c r="B37" i="6"/>
  <c r="B54" i="11"/>
  <c r="B23" i="6"/>
  <c r="B40" i="11"/>
  <c r="B12" i="6"/>
  <c r="B29" i="11"/>
  <c r="B25" i="6"/>
  <c r="B42" i="11"/>
  <c r="B40" i="6"/>
  <c r="B57" i="11"/>
  <c r="B39" i="6"/>
  <c r="B56" i="11"/>
  <c r="B31" i="6"/>
  <c r="B48" i="11"/>
  <c r="B29" i="6"/>
  <c r="B46" i="11"/>
  <c r="B36" i="6"/>
  <c r="B53" i="11"/>
  <c r="B20" i="6"/>
  <c r="B37" i="11"/>
  <c r="B46" i="6"/>
  <c r="B63" i="11"/>
  <c r="B44" i="6"/>
  <c r="B61" i="11"/>
  <c r="H36" i="5"/>
  <c r="H37" i="5"/>
  <c r="H38" i="5"/>
  <c r="G20" i="4"/>
  <c r="B37" i="5" s="1"/>
  <c r="B62" i="11" s="1"/>
  <c r="K20" i="4"/>
  <c r="B6" i="5"/>
  <c r="B10" i="7"/>
  <c r="O6" i="5"/>
  <c r="B24" i="7"/>
  <c r="O20" i="5"/>
  <c r="B6" i="7"/>
  <c r="O2" i="5"/>
  <c r="B11" i="7"/>
  <c r="O7" i="5"/>
  <c r="B33" i="7"/>
  <c r="O29" i="5"/>
  <c r="B12" i="7"/>
  <c r="O8" i="5"/>
  <c r="B39" i="7"/>
  <c r="O35" i="5"/>
  <c r="K84" i="4"/>
  <c r="N156" i="4"/>
  <c r="AE6" i="4"/>
  <c r="M156" i="4"/>
  <c r="B11" i="8"/>
  <c r="H24" i="5"/>
  <c r="H9" i="5"/>
  <c r="B19" i="6"/>
  <c r="F5" i="5"/>
  <c r="B17" i="6"/>
  <c r="B18" i="6"/>
  <c r="Y4" i="4"/>
  <c r="AC4" i="4" s="1"/>
  <c r="M92" i="4" s="1"/>
  <c r="D8" i="5" s="1"/>
  <c r="X4" i="4"/>
  <c r="H15" i="5"/>
  <c r="H18" i="5"/>
  <c r="H35" i="5"/>
  <c r="H27" i="5"/>
  <c r="H22" i="5"/>
  <c r="H13" i="5"/>
  <c r="H10" i="5"/>
  <c r="H26" i="5"/>
  <c r="H28" i="5"/>
  <c r="H11" i="5"/>
  <c r="H32" i="5"/>
  <c r="H25" i="5"/>
  <c r="H19" i="5"/>
  <c r="H17" i="5"/>
  <c r="H12" i="5"/>
  <c r="H21" i="5"/>
  <c r="H23" i="5"/>
  <c r="H34" i="5"/>
  <c r="H14" i="5"/>
  <c r="H31" i="5"/>
  <c r="H33" i="5"/>
  <c r="H16" i="5"/>
  <c r="F35" i="5"/>
  <c r="F32" i="5"/>
  <c r="F24" i="5"/>
  <c r="F22" i="5"/>
  <c r="F25" i="5"/>
  <c r="F15" i="5"/>
  <c r="F19" i="5"/>
  <c r="F12" i="5"/>
  <c r="F33" i="5"/>
  <c r="F17" i="5"/>
  <c r="F34" i="5"/>
  <c r="F28" i="5"/>
  <c r="F31" i="5"/>
  <c r="F13" i="5"/>
  <c r="F18" i="5"/>
  <c r="F23" i="5"/>
  <c r="F16" i="5"/>
  <c r="F14" i="5"/>
  <c r="F21" i="5"/>
  <c r="G71" i="4"/>
  <c r="B3" i="5" s="1"/>
  <c r="B28" i="11" s="1"/>
  <c r="AA4" i="4"/>
  <c r="AD4" i="4" s="1"/>
  <c r="G149" i="4"/>
  <c r="B26" i="5" s="1"/>
  <c r="B51" i="11" s="1"/>
  <c r="AA10" i="4"/>
  <c r="G152" i="4"/>
  <c r="B27" i="5" s="1"/>
  <c r="B52" i="11" s="1"/>
  <c r="V7" i="4"/>
  <c r="Y7" i="4" s="1"/>
  <c r="AA7" i="4"/>
  <c r="H4" i="5"/>
  <c r="H5" i="5"/>
  <c r="K65" i="4"/>
  <c r="E62" i="4"/>
  <c r="Z3" i="4" s="1"/>
  <c r="G64" i="4"/>
  <c r="H98" i="4"/>
  <c r="J98" i="4" s="1"/>
  <c r="K98" i="4" s="1"/>
  <c r="F4" i="5"/>
  <c r="K63" i="4"/>
  <c r="H62" i="4"/>
  <c r="J62" i="4" s="1"/>
  <c r="U3" i="4" s="1"/>
  <c r="J64" i="4"/>
  <c r="K64" i="4" s="1"/>
  <c r="L120" i="4" l="1"/>
  <c r="C20" i="5" s="1"/>
  <c r="L92" i="4"/>
  <c r="C8" i="5" s="1"/>
  <c r="H8" i="5" s="1"/>
  <c r="N120" i="4"/>
  <c r="E20" i="5" s="1"/>
  <c r="F20" i="5" s="1"/>
  <c r="N92" i="4"/>
  <c r="E8" i="5" s="1"/>
  <c r="F8" i="5" s="1"/>
  <c r="C93" i="11"/>
  <c r="B29" i="10"/>
  <c r="B107" i="11"/>
  <c r="B7" i="10"/>
  <c r="C71" i="11"/>
  <c r="B142" i="11"/>
  <c r="B39" i="10"/>
  <c r="C103" i="11"/>
  <c r="B33" i="10"/>
  <c r="C97" i="11"/>
  <c r="C70" i="11"/>
  <c r="O39" i="5"/>
  <c r="B10" i="10"/>
  <c r="C74" i="11"/>
  <c r="B12" i="10"/>
  <c r="C76" i="11"/>
  <c r="B11" i="10"/>
  <c r="C75" i="11"/>
  <c r="B24" i="10"/>
  <c r="C88" i="11"/>
  <c r="B14" i="6"/>
  <c r="B31" i="11"/>
  <c r="B45" i="6"/>
  <c r="F37" i="5"/>
  <c r="D29" i="5"/>
  <c r="H29" i="5" s="1"/>
  <c r="E29" i="5"/>
  <c r="F29" i="5" s="1"/>
  <c r="B6" i="10"/>
  <c r="M71" i="4"/>
  <c r="D3" i="5" s="1"/>
  <c r="M120" i="4"/>
  <c r="F10" i="5"/>
  <c r="F11" i="5"/>
  <c r="F9" i="5"/>
  <c r="B13" i="6"/>
  <c r="B35" i="6"/>
  <c r="B11" i="6"/>
  <c r="B34" i="6"/>
  <c r="N71" i="4"/>
  <c r="E3" i="5" s="1"/>
  <c r="AE4" i="4"/>
  <c r="G62" i="4"/>
  <c r="B2" i="5" s="1"/>
  <c r="AA3" i="4"/>
  <c r="AD3" i="4" s="1"/>
  <c r="AA5" i="4"/>
  <c r="AD5" i="4" s="1"/>
  <c r="N84" i="4" s="1"/>
  <c r="K62" i="4"/>
  <c r="V3" i="4"/>
  <c r="X3" i="4" s="1"/>
  <c r="L88" i="4" s="1"/>
  <c r="C7" i="5" s="1"/>
  <c r="V5" i="4"/>
  <c r="L71" i="4"/>
  <c r="C3" i="5" s="1"/>
  <c r="C107" i="11" l="1"/>
  <c r="B39" i="5"/>
  <c r="B27" i="11"/>
  <c r="B64" i="11" s="1"/>
  <c r="E6" i="5"/>
  <c r="F6" i="5" s="1"/>
  <c r="D20" i="5"/>
  <c r="H20" i="5" s="1"/>
  <c r="Y5" i="4"/>
  <c r="AC5" i="4" s="1"/>
  <c r="X5" i="4"/>
  <c r="L84" i="4" s="1"/>
  <c r="C6" i="5" s="1"/>
  <c r="N62" i="4"/>
  <c r="E2" i="5" s="1"/>
  <c r="N88" i="4"/>
  <c r="F27" i="5"/>
  <c r="B10" i="6"/>
  <c r="F26" i="5"/>
  <c r="Y3" i="4"/>
  <c r="AC3" i="4" s="1"/>
  <c r="M62" i="4" s="1"/>
  <c r="D2" i="5" s="1"/>
  <c r="L62" i="4"/>
  <c r="C2" i="5" s="1"/>
  <c r="H3" i="5"/>
  <c r="C39" i="5" l="1"/>
  <c r="E7" i="5"/>
  <c r="F7" i="5" s="1"/>
  <c r="AE5" i="4"/>
  <c r="M84" i="4"/>
  <c r="AE3" i="4"/>
  <c r="M88" i="4"/>
  <c r="D7" i="5" s="1"/>
  <c r="B41" i="5"/>
  <c r="F2" i="5"/>
  <c r="F3" i="5"/>
  <c r="H2" i="5"/>
  <c r="F39" i="5" l="1"/>
  <c r="F41" i="5" s="1"/>
  <c r="B2" i="6" s="1"/>
  <c r="E39" i="5"/>
  <c r="E41" i="5" s="1"/>
  <c r="B65" i="11" s="1"/>
  <c r="B66" i="11" s="1"/>
  <c r="D6" i="5"/>
  <c r="H7" i="5"/>
  <c r="C41" i="5"/>
  <c r="H6" i="5" l="1"/>
  <c r="H39" i="5" s="1"/>
  <c r="B3" i="6" s="1"/>
  <c r="D39" i="5"/>
  <c r="D41" i="5" s="1"/>
  <c r="B18" i="11"/>
  <c r="C2" i="6"/>
  <c r="D3" i="6" l="1"/>
  <c r="D19" i="11" s="1"/>
  <c r="G19" i="11"/>
  <c r="C18" i="11"/>
  <c r="G18" i="11" s="1"/>
  <c r="G21" i="11" s="1"/>
  <c r="D2" i="6"/>
  <c r="D18" i="11" s="1"/>
  <c r="H41" i="5"/>
  <c r="J41" i="5" s="1"/>
  <c r="K41" i="5" s="1"/>
  <c r="B6" i="6" s="1"/>
  <c r="B22" i="11" s="1"/>
  <c r="F3" i="6" l="1"/>
  <c r="F19" i="11" s="1"/>
  <c r="G23" i="11"/>
  <c r="G22" i="11"/>
  <c r="D5" i="6"/>
  <c r="D21" i="11" s="1"/>
  <c r="F2" i="6"/>
  <c r="F18" i="11" s="1"/>
  <c r="C3" i="6"/>
  <c r="B19" i="11"/>
  <c r="L41" i="5"/>
  <c r="B7" i="6" s="1"/>
  <c r="B23" i="11" s="1"/>
  <c r="B5" i="6"/>
  <c r="B21" i="11" s="1"/>
  <c r="D6" i="6" l="1"/>
  <c r="D22" i="11" s="1"/>
  <c r="F5" i="6"/>
  <c r="F6" i="6" s="1"/>
  <c r="F22" i="11" s="1"/>
  <c r="C5" i="6"/>
  <c r="C19" i="11"/>
  <c r="D7" i="6" l="1"/>
  <c r="D23" i="11" s="1"/>
  <c r="F7" i="6"/>
  <c r="F23" i="11" s="1"/>
  <c r="F21" i="11"/>
  <c r="C6" i="6"/>
  <c r="C21" i="11"/>
  <c r="C7" i="6" l="1"/>
  <c r="C23" i="11" s="1"/>
  <c r="C2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Company-specific information: user defined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General type of work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Building or Civil Engineering options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Generic and specific project phases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Either list individual distances for the options that apply to your site or estimate a 'total average' from the midpoint of the site to the skip. Use layout drawings and site observation to help you estimate the distances.</t>
        </r>
      </text>
    </comment>
    <comment ref="A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Average walking distance = midpoint of where work is being done to skip, excluding any travel by hoist or vehicle.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Average hoist disance = either hight of hoist to where work is being done, or half the hoist height if work is being done on multiple floors.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Average vehicle distance = either distance from work area to skip by vehicle or average (mean) distance from multiple work areas.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Total average disance = midpoint of site to skip.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Choose size of skip sampled from drop-down list.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Default sequence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Drop-down list: high-level description of the waste material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Auto-fill with waste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Drop-down list: 2nd level description of waste material. This only works once a 1st level option is chosen.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User notes; cross-reference to photos or other documents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Drop-down list: reason waste material is in the skip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Insert number of  objects of similar size and material. Needs a number e.g. 1, 2, 3. Estimate average dimensions of similar objects.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Estimated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Estimated width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Estimated thickness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Estimated total volume (auto-fill) number of similar objects x dimensions. Turns green when over 4.9m3, becomes red again after 5.9m3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Drop-down list: based on visual observation. Also consider level of contamination.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Yes or No: was this material installed (in-situ) then removed?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Yes or No: was replacement material bought for the wasted material?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To update table: click 'Select all' then unclick '£-'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F2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Alter this figure in 'Dashboard Costs'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<sst xmlns="http://schemas.openxmlformats.org/spreadsheetml/2006/main" count="820" uniqueCount="497">
  <si>
    <t>SITE SET UP</t>
  </si>
  <si>
    <t>Construction Waste Indicative Cost (CWIC) Calculator</t>
  </si>
  <si>
    <t>Green cells are for data entry</t>
  </si>
  <si>
    <r>
      <t xml:space="preserve">Dark green cells have drop-down lists </t>
    </r>
    <r>
      <rPr>
        <b/>
        <sz val="12"/>
        <color theme="0"/>
        <rFont val="Wingdings"/>
        <charset val="2"/>
      </rPr>
      <t>â</t>
    </r>
  </si>
  <si>
    <t>Dates of sampling: from/to</t>
  </si>
  <si>
    <t>Company name</t>
  </si>
  <si>
    <t>Your name</t>
  </si>
  <si>
    <t>Site/location/reference</t>
  </si>
  <si>
    <t>Construction type</t>
  </si>
  <si>
    <t>â</t>
  </si>
  <si>
    <t>Project type</t>
  </si>
  <si>
    <t>Project phase</t>
  </si>
  <si>
    <t>Season</t>
  </si>
  <si>
    <t>Weather</t>
  </si>
  <si>
    <t>Distance to skip</t>
  </si>
  <si>
    <t>Average distance (walking)</t>
  </si>
  <si>
    <t>meters</t>
  </si>
  <si>
    <t>Average distance (hoist/lift - vertical)</t>
  </si>
  <si>
    <t>Average distance (fork-lift/vehicle)</t>
  </si>
  <si>
    <t>Total average (auto)</t>
  </si>
  <si>
    <t>(or) Total average (manual)</t>
  </si>
  <si>
    <t>Size of skip sampled</t>
  </si>
  <si>
    <r>
      <rPr>
        <b/>
        <sz val="11"/>
        <color theme="1"/>
        <rFont val="Wingdings"/>
        <charset val="2"/>
      </rPr>
      <t xml:space="preserve">â </t>
    </r>
    <r>
      <rPr>
        <b/>
        <sz val="11"/>
        <color theme="1"/>
        <rFont val="Calibri"/>
        <family val="2"/>
        <scheme val="minor"/>
      </rPr>
      <t>yards</t>
    </r>
  </si>
  <si>
    <t>Seq. No.</t>
  </si>
  <si>
    <t>Type of waste</t>
  </si>
  <si>
    <r>
      <t>Waste code</t>
    </r>
    <r>
      <rPr>
        <sz val="11"/>
        <color theme="1"/>
        <rFont val="Calibri"/>
        <family val="2"/>
        <scheme val="minor"/>
      </rPr>
      <t xml:space="preserve"> (auto fill)</t>
    </r>
  </si>
  <si>
    <t>Description of waste (choose a 'Type of waste' first)</t>
  </si>
  <si>
    <t>Notes on waste</t>
  </si>
  <si>
    <t>Source of waste</t>
  </si>
  <si>
    <r>
      <t xml:space="preserve">No. of similar objects </t>
    </r>
    <r>
      <rPr>
        <sz val="11"/>
        <color theme="1"/>
        <rFont val="Calibri"/>
        <family val="2"/>
        <scheme val="minor"/>
      </rPr>
      <t>(enter 1 if only one)</t>
    </r>
  </si>
  <si>
    <t>Length (mm)</t>
  </si>
  <si>
    <t>Width (mm)</t>
  </si>
  <si>
    <t>Thickness (mm)</t>
  </si>
  <si>
    <r>
      <t xml:space="preserve">Total volume </t>
    </r>
    <r>
      <rPr>
        <sz val="11"/>
        <color theme="1"/>
        <rFont val="Calibri"/>
        <family val="2"/>
        <scheme val="minor"/>
      </rPr>
      <t>(auto fill). Aim for 5m3:</t>
    </r>
  </si>
  <si>
    <t>Condition</t>
  </si>
  <si>
    <t>Waste material was installed then removed</t>
  </si>
  <si>
    <t>New material needed to replace material wasted</t>
  </si>
  <si>
    <r>
      <rPr>
        <b/>
        <sz val="11"/>
        <color theme="1"/>
        <rFont val="Wingdings"/>
        <charset val="2"/>
      </rPr>
      <t>â</t>
    </r>
    <r>
      <rPr>
        <b/>
        <sz val="11"/>
        <color theme="1"/>
        <rFont val="Calibri"/>
        <family val="2"/>
        <scheme val="minor"/>
      </rPr>
      <t>Drop-Down List</t>
    </r>
  </si>
  <si>
    <r>
      <rPr>
        <b/>
        <sz val="11"/>
        <color theme="1"/>
        <rFont val="Wingdings"/>
        <charset val="2"/>
      </rPr>
      <t>â</t>
    </r>
    <r>
      <rPr>
        <b/>
        <sz val="11"/>
        <color theme="1"/>
        <rFont val="Calibri"/>
        <family val="2"/>
        <scheme val="minor"/>
      </rPr>
      <t>List Yes/No</t>
    </r>
  </si>
  <si>
    <t>Overview of costs                                                                                                       Volume (m3) of sample:</t>
  </si>
  <si>
    <t>Per 1m3</t>
  </si>
  <si>
    <t>For skip (Yards):</t>
  </si>
  <si>
    <t>Alt. Skip</t>
  </si>
  <si>
    <t>Company name:</t>
  </si>
  <si>
    <t>Total Materials Costs</t>
  </si>
  <si>
    <t>Name:</t>
  </si>
  <si>
    <t>Total Labour Costs</t>
  </si>
  <si>
    <t>Site/location:</t>
  </si>
  <si>
    <t>Skip Hire Cost (mixed)</t>
  </si>
  <si>
    <t>Dates:</t>
  </si>
  <si>
    <t>Total (excl. VAT)</t>
  </si>
  <si>
    <t>VAT</t>
  </si>
  <si>
    <t>Grand Total</t>
  </si>
  <si>
    <t>Materials Breakdown: sample from skip</t>
  </si>
  <si>
    <t>Cost</t>
  </si>
  <si>
    <t>Materials Breakdown</t>
  </si>
  <si>
    <t>Volume (m3)</t>
  </si>
  <si>
    <t>Weight (t)</t>
  </si>
  <si>
    <t>Source</t>
  </si>
  <si>
    <t>Volume</t>
  </si>
  <si>
    <t>REPORT</t>
  </si>
  <si>
    <t>Dashboard costs</t>
  </si>
  <si>
    <t>8 Yards Equiv.</t>
  </si>
  <si>
    <t>Dashboard costs: Materials breakdown</t>
  </si>
  <si>
    <t>Materials breakdown</t>
  </si>
  <si>
    <t>EWC Code</t>
  </si>
  <si>
    <t>TOTAL COST OF MATERIALS IN SKIP</t>
  </si>
  <si>
    <t>Replacement material costs</t>
  </si>
  <si>
    <t>TOTAL (ALL) MATERIALS COST</t>
  </si>
  <si>
    <t>Dashboard Volume &amp; Weight</t>
  </si>
  <si>
    <t>TOTALS</t>
  </si>
  <si>
    <t>Dashboard Source</t>
  </si>
  <si>
    <t>TOTAL</t>
  </si>
  <si>
    <t>Dashboard Condition</t>
  </si>
  <si>
    <t>Volumn (m3)</t>
  </si>
  <si>
    <t>Type of Waste</t>
  </si>
  <si>
    <t>Code</t>
  </si>
  <si>
    <t>Conversion</t>
  </si>
  <si>
    <t>Source of Waste</t>
  </si>
  <si>
    <t>Measurement</t>
  </si>
  <si>
    <t>Yes/No</t>
  </si>
  <si>
    <t>Skip sizes</t>
  </si>
  <si>
    <t>Skip capacity</t>
  </si>
  <si>
    <t>Average Journies</t>
  </si>
  <si>
    <t>Hire Cost</t>
  </si>
  <si>
    <t>Travel</t>
  </si>
  <si>
    <t>Distance</t>
  </si>
  <si>
    <t>Round trip</t>
  </si>
  <si>
    <t>Time</t>
  </si>
  <si>
    <t>Waiting time</t>
  </si>
  <si>
    <t>Total time per journey</t>
  </si>
  <si>
    <t>Total time</t>
  </si>
  <si>
    <t>Cost per journey</t>
  </si>
  <si>
    <t>Project Phases</t>
  </si>
  <si>
    <t>Weaher</t>
  </si>
  <si>
    <t>HH</t>
  </si>
  <si>
    <t>MM</t>
  </si>
  <si>
    <t>Insulation</t>
  </si>
  <si>
    <t>17-06-04</t>
  </si>
  <si>
    <t>Application and residue waste (spillage)</t>
  </si>
  <si>
    <t>As good as new</t>
  </si>
  <si>
    <t>each</t>
  </si>
  <si>
    <t>Yes</t>
  </si>
  <si>
    <t>Foot</t>
  </si>
  <si>
    <t>All construction work</t>
  </si>
  <si>
    <t>Building: Commercial Offices</t>
  </si>
  <si>
    <t>Early: Demolition/removal of existing</t>
  </si>
  <si>
    <t>Spring</t>
  </si>
  <si>
    <t>Clear</t>
  </si>
  <si>
    <t>Concrete</t>
  </si>
  <si>
    <t>17-01-01</t>
  </si>
  <si>
    <t>Canteen and office waste</t>
  </si>
  <si>
    <t>Potentially reusable</t>
  </si>
  <si>
    <t>m (linear)</t>
  </si>
  <si>
    <t>No</t>
  </si>
  <si>
    <t>Hoist</t>
  </si>
  <si>
    <t>Maintenance</t>
  </si>
  <si>
    <t>Building: Commercial Other</t>
  </si>
  <si>
    <t>Early: Foundations/earthworks/preparation</t>
  </si>
  <si>
    <t>Summer</t>
  </si>
  <si>
    <t>Cloudy</t>
  </si>
  <si>
    <t>Bricks</t>
  </si>
  <si>
    <t>17-01-02</t>
  </si>
  <si>
    <t>Client/designer change of mind</t>
  </si>
  <si>
    <t>Slight damage/Reparable</t>
  </si>
  <si>
    <t>m2 (area)</t>
  </si>
  <si>
    <t>F/L</t>
  </si>
  <si>
    <t>New build</t>
  </si>
  <si>
    <t>Building: Commercial Retail</t>
  </si>
  <si>
    <t>Early: Mixed use/general</t>
  </si>
  <si>
    <t>Autumn</t>
  </si>
  <si>
    <t>Drizzle</t>
  </si>
  <si>
    <t>Tiles_and_ceramics</t>
  </si>
  <si>
    <t>17-01-03</t>
  </si>
  <si>
    <t>Conversion waste (dimensions)</t>
  </si>
  <si>
    <t>Suitable for recycling</t>
  </si>
  <si>
    <t>m3 (volume)</t>
  </si>
  <si>
    <t>Total Av.</t>
  </si>
  <si>
    <t>Refurbishment/renovation</t>
  </si>
  <si>
    <t>Building: Education</t>
  </si>
  <si>
    <t>Mid: Structure/superstructure/installation</t>
  </si>
  <si>
    <t>Winter</t>
  </si>
  <si>
    <t>Fog</t>
  </si>
  <si>
    <t>Concrete_bricks_tiles_and_ceramics_in_mixtures</t>
  </si>
  <si>
    <t>17-01-07</t>
  </si>
  <si>
    <t>Criminal waste (vandalism)</t>
  </si>
  <si>
    <t>Mostly recyclable</t>
  </si>
  <si>
    <t>litre</t>
  </si>
  <si>
    <t>Building: Healthcare</t>
  </si>
  <si>
    <t>Mid: Building envelope/waterproofing</t>
  </si>
  <si>
    <t>Hail</t>
  </si>
  <si>
    <t>Wood_untreated</t>
  </si>
  <si>
    <t>17-02-01</t>
  </si>
  <si>
    <t>Cutting waste</t>
  </si>
  <si>
    <t>Disposal/Landfill</t>
  </si>
  <si>
    <t>Building: Industrial Buildings</t>
  </si>
  <si>
    <t>Mid: Mechanical, electrical plumbing (MEP)</t>
  </si>
  <si>
    <t>Hail shower</t>
  </si>
  <si>
    <t>Treated_wood_glass_plastic_including_wood_plastic_window_frames</t>
  </si>
  <si>
    <t>17-02-04</t>
  </si>
  <si>
    <t>Damaged: Site storage and internal site transit waste</t>
  </si>
  <si>
    <t>Building: Leisure</t>
  </si>
  <si>
    <t>Mid: Mixed use/general</t>
  </si>
  <si>
    <t>Heavy rain</t>
  </si>
  <si>
    <t>Glass_uncontaminated</t>
  </si>
  <si>
    <t>17-02-02</t>
  </si>
  <si>
    <t>Damaged: Transport and delivery</t>
  </si>
  <si>
    <t>Building: Mixed Use</t>
  </si>
  <si>
    <t>End: Finishes/surface finishes</t>
  </si>
  <si>
    <t>Heavy rain showers</t>
  </si>
  <si>
    <t>Plastic_excluding_packaging_waste</t>
  </si>
  <si>
    <t>17-02-03</t>
  </si>
  <si>
    <t>Damaged: weather</t>
  </si>
  <si>
    <t>Building: Other</t>
  </si>
  <si>
    <t>End: Post-handover works</t>
  </si>
  <si>
    <t>Heavy snow</t>
  </si>
  <si>
    <t>Bituminous_mixtures_containing_coal_tar</t>
  </si>
  <si>
    <t>17-03-01</t>
  </si>
  <si>
    <t>Demolition and stripping out</t>
  </si>
  <si>
    <t>Building: Public Buildings</t>
  </si>
  <si>
    <t>End: Mixed use/general</t>
  </si>
  <si>
    <t>Heavy snow showers</t>
  </si>
  <si>
    <t>Other_bituminous_mixtures</t>
  </si>
  <si>
    <t>17-03-02</t>
  </si>
  <si>
    <t>Design error</t>
  </si>
  <si>
    <t>3 kph walking speed, 2 kph whilst in a hoist, and 8 kph whilst in a forklift</t>
  </si>
  <si>
    <t>Building: Residential</t>
  </si>
  <si>
    <t>Light rain</t>
  </si>
  <si>
    <t>Coal_tar_and_tarred_products</t>
  </si>
  <si>
    <t>17-03-03</t>
  </si>
  <si>
    <t>Excavated waste</t>
  </si>
  <si>
    <t>General operative</t>
  </si>
  <si>
    <t>Building: Transport</t>
  </si>
  <si>
    <t>Light rain showers</t>
  </si>
  <si>
    <t>Copper_bronze_and_brass</t>
  </si>
  <si>
    <t>17-04-01</t>
  </si>
  <si>
    <t>Excess materials (too much in a batch)</t>
  </si>
  <si>
    <t>Glasgow</t>
  </si>
  <si>
    <t>Forklift driver</t>
  </si>
  <si>
    <t>Civil Engineering: Airports</t>
  </si>
  <si>
    <t>Light snow</t>
  </si>
  <si>
    <t>Aluminium</t>
  </si>
  <si>
    <t>17-04-02</t>
  </si>
  <si>
    <t>Fixing waste: built in wrong place</t>
  </si>
  <si>
    <t>Edinburgh</t>
  </si>
  <si>
    <t>Civil Engineering: Bridges &amp; Structures</t>
  </si>
  <si>
    <t>Light snow showers</t>
  </si>
  <si>
    <t>Lead</t>
  </si>
  <si>
    <t>17-04-03</t>
  </si>
  <si>
    <t>Fixing waste: poor workmanship/quality</t>
  </si>
  <si>
    <t>Average</t>
  </si>
  <si>
    <t>Civil Engineering: Coastal protection</t>
  </si>
  <si>
    <t>Mist</t>
  </si>
  <si>
    <t>Iron_and_steel</t>
  </si>
  <si>
    <t>17-04-05</t>
  </si>
  <si>
    <t>Learning waste</t>
  </si>
  <si>
    <t>Less VAT</t>
  </si>
  <si>
    <t>Civil Engineering: Development site infrastructure</t>
  </si>
  <si>
    <t>Overcast</t>
  </si>
  <si>
    <t>Tin</t>
  </si>
  <si>
    <t>17-04-06</t>
  </si>
  <si>
    <t>Manufacturing defect</t>
  </si>
  <si>
    <t>Civil Engineering: Flood defence</t>
  </si>
  <si>
    <t>Partly cloudy</t>
  </si>
  <si>
    <t>Mixed_metals</t>
  </si>
  <si>
    <t>17-04-07</t>
  </si>
  <si>
    <t>Not recovered by supplier (packaging)</t>
  </si>
  <si>
    <t>https://www.anyjunk.co.uk/blog/2020/03/20/average-skip-hire-prices/</t>
  </si>
  <si>
    <t>Civil Engineering: Highways</t>
  </si>
  <si>
    <t>Sleet</t>
  </si>
  <si>
    <t>Cables</t>
  </si>
  <si>
    <t>17-04-11</t>
  </si>
  <si>
    <t>Over ordering</t>
  </si>
  <si>
    <t>https://skiphire.services/prices/</t>
  </si>
  <si>
    <t>Civil Engineering: Landfill &amp; Quarries</t>
  </si>
  <si>
    <t>Sleet shower</t>
  </si>
  <si>
    <t>Inert_soil_and_stones</t>
  </si>
  <si>
    <t>17-05-03</t>
  </si>
  <si>
    <t>Temporary Works</t>
  </si>
  <si>
    <t>Civil Engineering: Other</t>
  </si>
  <si>
    <t>Sunny</t>
  </si>
  <si>
    <t>Dredging_spoil</t>
  </si>
  <si>
    <t>17-05-05</t>
  </si>
  <si>
    <t>Waste caused by other trades (if unprotected)</t>
  </si>
  <si>
    <t>Size</t>
  </si>
  <si>
    <t>Base cost</t>
  </si>
  <si>
    <t>Multiplier</t>
  </si>
  <si>
    <t>Civil Engineering: Ports &amp; harbours</t>
  </si>
  <si>
    <t>Thunder</t>
  </si>
  <si>
    <t>Gypsum_materials</t>
  </si>
  <si>
    <t>17-08-02</t>
  </si>
  <si>
    <t>Wrongly specified (by contractor)</t>
  </si>
  <si>
    <t>Civil Engineering: Railways</t>
  </si>
  <si>
    <t>Thunder shower</t>
  </si>
  <si>
    <t>Unused_or_unset_cement</t>
  </si>
  <si>
    <t>17-09-03</t>
  </si>
  <si>
    <t>Civil Engineering: Tunnels</t>
  </si>
  <si>
    <t>Not available</t>
  </si>
  <si>
    <t>Mixed_construction_and_demolition_wastes</t>
  </si>
  <si>
    <t>17-09-04</t>
  </si>
  <si>
    <t>Civil Engineering: Utilities - infrastructure</t>
  </si>
  <si>
    <t>Paints_and_varnishes_Containing_organic_solvents_or_other_hazardous_substances</t>
  </si>
  <si>
    <t>08-01-11</t>
  </si>
  <si>
    <t>Civil Engineering: Utilities - streetworks</t>
  </si>
  <si>
    <t>Paints_and_varnishes_Not_containing_organic_solvents_or_other_hazardous_substances</t>
  </si>
  <si>
    <t>08-01-12</t>
  </si>
  <si>
    <t>Packaging_Paper_and_Card</t>
  </si>
  <si>
    <t>15-01-01</t>
  </si>
  <si>
    <t>Packaging_Plastic</t>
  </si>
  <si>
    <t>15-01-02</t>
  </si>
  <si>
    <t>Packaging_wooden</t>
  </si>
  <si>
    <t>15-01-03</t>
  </si>
  <si>
    <t>Packaging_Metal</t>
  </si>
  <si>
    <t>15-01-04</t>
  </si>
  <si>
    <t>Packaging_Glass</t>
  </si>
  <si>
    <t>15-01-07</t>
  </si>
  <si>
    <t>Packaging_Textiles</t>
  </si>
  <si>
    <t>15-01-09</t>
  </si>
  <si>
    <t>Packaging_Paint_cans_Metal_Plastic</t>
  </si>
  <si>
    <t>15-01-10</t>
  </si>
  <si>
    <t>Other_Each</t>
  </si>
  <si>
    <t>Other_Linear_meter</t>
  </si>
  <si>
    <t>Other_Square_meter</t>
  </si>
  <si>
    <t>Other_Volume_cubic_meter</t>
  </si>
  <si>
    <t>[SPARE01]</t>
  </si>
  <si>
    <t>[SPARE02]</t>
  </si>
  <si>
    <t>[SPARE03]</t>
  </si>
  <si>
    <t>[SPARE04]</t>
  </si>
  <si>
    <t>[SPARE05]</t>
  </si>
  <si>
    <t>[SPARE06]</t>
  </si>
  <si>
    <t>[SPARE07]</t>
  </si>
  <si>
    <t>[SPARE08]</t>
  </si>
  <si>
    <t>[SPARE09]</t>
  </si>
  <si>
    <t>[SPARE10]</t>
  </si>
  <si>
    <t>[SPARE11]</t>
  </si>
  <si>
    <t>[SPARE12]</t>
  </si>
  <si>
    <t>[SPARE13]</t>
  </si>
  <si>
    <t>[SPARE14]</t>
  </si>
  <si>
    <t>[SPARE15]</t>
  </si>
  <si>
    <t>[SPARE16]</t>
  </si>
  <si>
    <t>[SPARE17]</t>
  </si>
  <si>
    <t>[SPARE18]</t>
  </si>
  <si>
    <t>[SPARE19]</t>
  </si>
  <si>
    <t>[SPARE20]</t>
  </si>
  <si>
    <t xml:space="preserve"> </t>
  </si>
  <si>
    <t>Type</t>
  </si>
  <si>
    <t>Material</t>
  </si>
  <si>
    <t>Unit</t>
  </si>
  <si>
    <t>Materials Rate</t>
  </si>
  <si>
    <t>Total count</t>
  </si>
  <si>
    <t>Materials Cost</t>
  </si>
  <si>
    <t>Labour</t>
  </si>
  <si>
    <t>Plant</t>
  </si>
  <si>
    <t>Instal Rate</t>
  </si>
  <si>
    <t>Instal Cost</t>
  </si>
  <si>
    <t>Removal Cost</t>
  </si>
  <si>
    <t>Replacement Lab/Cost</t>
  </si>
  <si>
    <t>Replacement Mat/Cost</t>
  </si>
  <si>
    <t>Linear m</t>
  </si>
  <si>
    <t>Areas m2</t>
  </si>
  <si>
    <t>Vol. m3</t>
  </si>
  <si>
    <t>Count</t>
  </si>
  <si>
    <t>Lab Rate</t>
  </si>
  <si>
    <t>Instal Lab</t>
  </si>
  <si>
    <t>Removed</t>
  </si>
  <si>
    <t>If yes</t>
  </si>
  <si>
    <t>Replace Lab</t>
  </si>
  <si>
    <t>Mat Rate</t>
  </si>
  <si>
    <t>Replace Mat</t>
  </si>
  <si>
    <t>Replace</t>
  </si>
  <si>
    <t>If Yes lab</t>
  </si>
  <si>
    <t>If yes Mat</t>
  </si>
  <si>
    <t>Replace Cost</t>
  </si>
  <si>
    <t>Skip size</t>
  </si>
  <si>
    <t>Journeys</t>
  </si>
  <si>
    <t>Journies Added</t>
  </si>
  <si>
    <t>Journies Total</t>
  </si>
  <si>
    <t>Greater Total</t>
  </si>
  <si>
    <t>Cost: all Journeys</t>
  </si>
  <si>
    <t>Capacity</t>
  </si>
  <si>
    <t>Capacity X</t>
  </si>
  <si>
    <t>[NAME 1] Other Each (insert cost figure)</t>
  </si>
  <si>
    <t>Each</t>
  </si>
  <si>
    <t>[NAME2] Other Each (insert cost figure)</t>
  </si>
  <si>
    <t>[NAME 3] Other Each (insert cost figure)</t>
  </si>
  <si>
    <t>[NAME 4] Other Each (insert cost figure)</t>
  </si>
  <si>
    <t>[NAME 5] Other Each (insert cost figure)</t>
  </si>
  <si>
    <t>[NAME 6] Other Each (insert cost figure)</t>
  </si>
  <si>
    <t>[NAME 7] Other Each (insert cost figure)</t>
  </si>
  <si>
    <t>[NAME 8] Other Each (insert cost figure)</t>
  </si>
  <si>
    <t>[NAME 9] Other Each (insert cost figure)</t>
  </si>
  <si>
    <t>[NAME 1] Other Linear meter (insert cost figure)</t>
  </si>
  <si>
    <t>m</t>
  </si>
  <si>
    <t>[NAME 2] Other Linear meter (insert cost figure)</t>
  </si>
  <si>
    <t>[NAME 3] Other Linear meter (insert cost figure)</t>
  </si>
  <si>
    <t>[NAME 4] Other Linear meter (insert cost figure)</t>
  </si>
  <si>
    <t>[NAME 5] Other Linear meter (insert cost figure)</t>
  </si>
  <si>
    <t>[NAME 6] Other Linear meter (insert cost figure)</t>
  </si>
  <si>
    <t>[NAME 7] Other Linear meter (insert cost figure)</t>
  </si>
  <si>
    <t>[NAME 8] Other Linear meter (insert cost figure)</t>
  </si>
  <si>
    <t>[NAME 9] Other Linear meter (insert cost figure)</t>
  </si>
  <si>
    <t>[Carpet tiles] Other Square meter (insert cost figure)</t>
  </si>
  <si>
    <t>m2</t>
  </si>
  <si>
    <t>[Carpet - roll] Other Square meter (insert cost figure)</t>
  </si>
  <si>
    <t>[NAME 3] Other Square meter (insert cost figure)</t>
  </si>
  <si>
    <t>[NAME 4] Other Square meter (insert cost figure)</t>
  </si>
  <si>
    <t>[NAME 5] Other Square meter (insert cost figure)</t>
  </si>
  <si>
    <t>[NAME 6] Other Square meter (insert cost figure)</t>
  </si>
  <si>
    <t>[NAME 7] Other Square meter (insert cost figure)</t>
  </si>
  <si>
    <t>[NAME 8] Other Square meter (insert cost figure)</t>
  </si>
  <si>
    <t>[NAME 9] Other Square meter (insert cost figure)</t>
  </si>
  <si>
    <t>[NAME 1] Other Volume/cubic meter (insert cost figure)</t>
  </si>
  <si>
    <t>m3</t>
  </si>
  <si>
    <t>[NAME 2] Other Volume/cubic meter (insert cost figure)</t>
  </si>
  <si>
    <t>[NAME 3] Other Volume/cubic meter (insert cost figure)</t>
  </si>
  <si>
    <t>[NAME 4] Other Volume/cubic meter (insert cost figure)</t>
  </si>
  <si>
    <t>[NAME 5] Other Volume/cubic meter (insert cost figure)</t>
  </si>
  <si>
    <t>[NAME 6] Other Volume/cubic meter (insert cost figure)</t>
  </si>
  <si>
    <t>[NAME 7] Other Volume/cubic meter (insert cost figure)</t>
  </si>
  <si>
    <t>[NAME 8] Other Volume/cubic meter (insert cost figure)</t>
  </si>
  <si>
    <t>[NAME 9] Other Volume/cubic meter (insert cost figure)</t>
  </si>
  <si>
    <t>Insulation: general</t>
  </si>
  <si>
    <t>Insulation: mat or quilt insulation up to 200mm</t>
  </si>
  <si>
    <t>Insulation: mat or quilt insulation over 200mm</t>
  </si>
  <si>
    <t>Insulation: board or slab insulation up to 75mm</t>
  </si>
  <si>
    <t>Insulation: board or slab insulation over 75mm</t>
  </si>
  <si>
    <t>Insulation: styrofoam</t>
  </si>
  <si>
    <t>Insulation: cellular glass insulation</t>
  </si>
  <si>
    <t>Insulation: sheepswool</t>
  </si>
  <si>
    <t>Concrete: general (linear)</t>
  </si>
  <si>
    <t>Concrete: general (volume)</t>
  </si>
  <si>
    <t>Concrete: in-situ, basic mix, GEN 1 (10N), delivered to site from plant</t>
  </si>
  <si>
    <t>Concrete:  in-situ, basic mix, RC25/30, delivered to site from plant</t>
  </si>
  <si>
    <t>Concrete: in-situ, site mixed, mix 10N/mm2 cement</t>
  </si>
  <si>
    <t>Concrete: precast - prestressed suspended floor</t>
  </si>
  <si>
    <t>Bricks: common (no mortar)</t>
  </si>
  <si>
    <t>Tiles and ceramics: general</t>
  </si>
  <si>
    <t>Tiles and ceramics: clay tiles</t>
  </si>
  <si>
    <t>Tiles and ceramics: concrete tiles - plain</t>
  </si>
  <si>
    <t>Tiles and ceramics: concrete tiles - interlocking</t>
  </si>
  <si>
    <t>Tiles and ceramics: fibre cement slates - roof</t>
  </si>
  <si>
    <t>Tiles and ceramics: natural slates - roof</t>
  </si>
  <si>
    <t>Concrete bricks/blocks, tiles and ceramics in mixtures: general</t>
  </si>
  <si>
    <t>Concrete bricks/blocks, tiles and ceramics in mixtures: bricks, common bricks including mortar</t>
  </si>
  <si>
    <t>Concrete bricks/blocks, tiles and ceramics in mixtures: bricks, engineering bricks including mortar</t>
  </si>
  <si>
    <t>Concrete bricks/blocks, tiles and ceramics in mixtures: clay floor quarries in cement and sand</t>
  </si>
  <si>
    <t>Concrete bricks/blocks, tiles and ceramics in mixtures: slate floor tiles</t>
  </si>
  <si>
    <t>Wood - untreated: timber (lengths) general</t>
  </si>
  <si>
    <t>Wood - untreated: (sheets) general</t>
  </si>
  <si>
    <t>Wood - untreated: hardwood (volume)</t>
  </si>
  <si>
    <t>Treated wood/glass/plastic: general</t>
  </si>
  <si>
    <t>Treated wood/glass/plastic: timber (lengths) - wall or partition members</t>
  </si>
  <si>
    <t>Treated wood/glass/plastic: timber  - plywood, marine quality</t>
  </si>
  <si>
    <t>Treated wood/glass/plastic: timber - Glulam</t>
  </si>
  <si>
    <t>Treated wood/glass/plastic: timber  - Pretreatment</t>
  </si>
  <si>
    <t>Treated wood/glass/plastic: glass - laminated, safety</t>
  </si>
  <si>
    <t>Treated wood/glass/plastic: plastic window frames (includes glazing 'fixed light', EPDM, seals etc)</t>
  </si>
  <si>
    <t>Glass - uncontaminated: general</t>
  </si>
  <si>
    <t>Glass - uncontaminated: ordinary translucent</t>
  </si>
  <si>
    <t>Glass - uncontaminated: factory-made double hermetically sealed</t>
  </si>
  <si>
    <t>Glass - uncontaminated: Factory-made triple hermetically sealed</t>
  </si>
  <si>
    <t>Plastic - excludes packaging waste: general</t>
  </si>
  <si>
    <t>Plastic - excludes packaging waste: plastic drain pipe</t>
  </si>
  <si>
    <t>Plastic - excludes packaging waste: plastic Sheeting</t>
  </si>
  <si>
    <t>Bituminous mixtures containing coal tar</t>
  </si>
  <si>
    <t>Other bituminous mixtures: dense bitumen Macadam base course (up to 100mm)</t>
  </si>
  <si>
    <t>Other bituminous mixtures: dense bitumen Macadam base course (over 100mm)</t>
  </si>
  <si>
    <t>Other bituminous mixtures: hot rolled asphalt base course (up to 150mm)</t>
  </si>
  <si>
    <t>Other bituminous mixtures: hot rolled asphalt base course (over 150mm)</t>
  </si>
  <si>
    <t>Other bituminous mixtures: Macadam surface course</t>
  </si>
  <si>
    <t>Coal tar and tarred products</t>
  </si>
  <si>
    <t>Copper, bronze and brass</t>
  </si>
  <si>
    <t>Aluminium: general</t>
  </si>
  <si>
    <t>Lead: general</t>
  </si>
  <si>
    <t>Iron and steel: general</t>
  </si>
  <si>
    <t>Iron and steel: steel, framing, fabrication - column</t>
  </si>
  <si>
    <t>Iron and steel: steel, framing, fabrication - purlin/cladding rail (linear m)</t>
  </si>
  <si>
    <t>Mixed metals</t>
  </si>
  <si>
    <t>Inert soil and stones</t>
  </si>
  <si>
    <t>Zero</t>
  </si>
  <si>
    <t>Dredging spoil</t>
  </si>
  <si>
    <t>Gypsum materials: plasterboard</t>
  </si>
  <si>
    <t>Un-used or un-set cement</t>
  </si>
  <si>
    <t>Mixed construction and demolition wastes</t>
  </si>
  <si>
    <t>Tiles and ceramics</t>
  </si>
  <si>
    <t>Concrete bricks tiles and ceramics in mixtures</t>
  </si>
  <si>
    <t>Wood untreated</t>
  </si>
  <si>
    <t>Treated wood glass plastic including wood plastic window frames</t>
  </si>
  <si>
    <t>Glass</t>
  </si>
  <si>
    <t>Plastic</t>
  </si>
  <si>
    <t>Bituminous</t>
  </si>
  <si>
    <t>Copper bronze and brass</t>
  </si>
  <si>
    <t>Iron and steel</t>
  </si>
  <si>
    <t>Gypsum materials</t>
  </si>
  <si>
    <t>Paints and varnishes</t>
  </si>
  <si>
    <t>Paints and varnishes containing organic solvents: general</t>
  </si>
  <si>
    <t>Paints and varnishes containing organic solvents: paint</t>
  </si>
  <si>
    <t>Paints and varnishes containing organic solvents: stain</t>
  </si>
  <si>
    <t>Paints and varnishes not containing organic solvents: general</t>
  </si>
  <si>
    <t>Paints and varnishes not containing organic solvents: emulsion</t>
  </si>
  <si>
    <t>Paints and varnishes not containing organic solvents: polyurethane</t>
  </si>
  <si>
    <t>Packaging: Paper/Card</t>
  </si>
  <si>
    <t>Packaging: Plastic</t>
  </si>
  <si>
    <t>Packaging: Metal</t>
  </si>
  <si>
    <t>Packaging: Glass</t>
  </si>
  <si>
    <t>Packaging: Textiles</t>
  </si>
  <si>
    <t>Packaging: Paint cans (Metal /Plastic)</t>
  </si>
  <si>
    <t>Concrete: plain in situ ready mixed - C10</t>
  </si>
  <si>
    <t>Concrete: reinforced in situ ready mixed - 25N</t>
  </si>
  <si>
    <t>Concrete: precast - prestressed beam and block floor</t>
  </si>
  <si>
    <t>Bricks: concrete block (no mortar)</t>
  </si>
  <si>
    <t>Concrete bricks/blocks, tiles and ceramics in mixtures: concrete blockwork including mortar</t>
  </si>
  <si>
    <t>Wood: hardwood lengths</t>
  </si>
  <si>
    <t>Glass - uncontaminated: standard Casement windows</t>
  </si>
  <si>
    <t>Aluminium: roof covering</t>
  </si>
  <si>
    <t>Aluminium: pipe</t>
  </si>
  <si>
    <t>Iron and steel: cast Iron pipe</t>
  </si>
  <si>
    <t>Iron and steel: lattice beam</t>
  </si>
  <si>
    <t>Lead: sheet covering/flashing</t>
  </si>
  <si>
    <t>Gypsum materials: plaster bag</t>
  </si>
  <si>
    <t>Other [Zero Cost]</t>
  </si>
  <si>
    <t>Packaging: Wood</t>
  </si>
  <si>
    <t>Gypsum materials: set plaster (volume)</t>
  </si>
  <si>
    <t>Material calcs</t>
  </si>
  <si>
    <t>Removal Lab.</t>
  </si>
  <si>
    <t>Replacement Lab.</t>
  </si>
  <si>
    <t>Replacement Mat.</t>
  </si>
  <si>
    <t>Total Materials Cost</t>
  </si>
  <si>
    <t>Travel to Skip (total)</t>
  </si>
  <si>
    <t>Total Labour Cost</t>
  </si>
  <si>
    <t>Skip Hire</t>
  </si>
  <si>
    <t>Total Exc. VAT</t>
  </si>
  <si>
    <t>Grand Total Cost</t>
  </si>
  <si>
    <t>Material Volume</t>
  </si>
  <si>
    <t>Material Weight</t>
  </si>
  <si>
    <t>Material Source</t>
  </si>
  <si>
    <t>Material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</si>
</sst>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164" formatCode="0.000"/>
    <numFmt numFmtId="165" formatCode="#,##0.00_ ;\-#,##0.00\ "/>
    <numFmt numFmtId="166" formatCode="#,##0.000_ ;\-#,##0.000\ "/>
    <numFmt numFmtId="167" formatCode="dd/mm/yy;@"/>
    <numFmt numFmtId="168" formatCode="#,##0_ ;\-#,##0\ "/>
    <numFmt numFmtId="169" formatCode="0.0000"/>
    <numFmt numFmtId="170" formatCode="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Wingdings"/>
      <charset val="2"/>
    </font>
    <font>
      <sz val="11"/>
      <name val="Calibri"/>
      <family val="2"/>
      <scheme val="minor"/>
    </font>
    <font>
      <sz val="11"/>
      <color theme="1"/>
      <name val="Wingdings"/>
      <charset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rgb="FF00B0F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44" fontId="0" fillId="0" borderId="0" xfId="1" applyFont="1"/>
    <xf numFmtId="44" fontId="1" fillId="0" borderId="0" xfId="1" applyFont="1"/>
    <xf numFmtId="44" fontId="0" fillId="0" borderId="0" xfId="0" applyNumberFormat="1"/>
    <xf numFmtId="44" fontId="1" fillId="0" borderId="0" xfId="1" applyFont="1" applyAlignment="1"/>
    <xf numFmtId="44" fontId="0" fillId="0" borderId="0" xfId="1" applyFont="1" applyAlignment="1"/>
    <xf numFmtId="44" fontId="5" fillId="0" borderId="0" xfId="1" applyFont="1" applyAlignment="1"/>
    <xf numFmtId="44" fontId="0" fillId="0" borderId="0" xfId="1" applyFont="1" applyFill="1" applyAlignment="1"/>
    <xf numFmtId="164" fontId="0" fillId="0" borderId="0" xfId="0" applyNumberFormat="1"/>
    <xf numFmtId="165" fontId="1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8" fontId="0" fillId="0" borderId="0" xfId="0" applyNumberFormat="1"/>
    <xf numFmtId="0" fontId="6" fillId="0" borderId="0" xfId="2"/>
    <xf numFmtId="44" fontId="0" fillId="0" borderId="0" xfId="1" applyFont="1" applyBorder="1"/>
    <xf numFmtId="44" fontId="0" fillId="0" borderId="10" xfId="0" applyNumberFormat="1" applyBorder="1"/>
    <xf numFmtId="0" fontId="0" fillId="0" borderId="10" xfId="0" applyBorder="1"/>
    <xf numFmtId="44" fontId="0" fillId="0" borderId="10" xfId="1" applyFont="1" applyBorder="1"/>
    <xf numFmtId="0" fontId="0" fillId="0" borderId="11" xfId="0" applyBorder="1"/>
    <xf numFmtId="44" fontId="4" fillId="0" borderId="0" xfId="1" applyFont="1" applyAlignment="1"/>
    <xf numFmtId="168" fontId="0" fillId="0" borderId="0" xfId="1" applyNumberFormat="1" applyFont="1"/>
    <xf numFmtId="44" fontId="0" fillId="0" borderId="0" xfId="1" applyFont="1" applyFill="1"/>
    <xf numFmtId="166" fontId="0" fillId="0" borderId="0" xfId="1" applyNumberFormat="1" applyFont="1" applyFill="1"/>
    <xf numFmtId="0" fontId="0" fillId="5" borderId="0" xfId="0" applyFill="1"/>
    <xf numFmtId="0" fontId="0" fillId="5" borderId="5" xfId="0" applyFill="1" applyBorder="1"/>
    <xf numFmtId="0" fontId="1" fillId="5" borderId="5" xfId="0" applyFont="1" applyFill="1" applyBorder="1"/>
    <xf numFmtId="0" fontId="1" fillId="5" borderId="8" xfId="0" applyFont="1" applyFill="1" applyBorder="1"/>
    <xf numFmtId="0" fontId="0" fillId="2" borderId="0" xfId="0" applyFill="1"/>
    <xf numFmtId="164" fontId="1" fillId="4" borderId="13" xfId="0" applyNumberFormat="1" applyFont="1" applyFill="1" applyBorder="1" applyAlignment="1">
      <alignment wrapText="1"/>
    </xf>
    <xf numFmtId="0" fontId="0" fillId="3" borderId="0" xfId="0" applyFill="1"/>
    <xf numFmtId="0" fontId="8" fillId="0" borderId="0" xfId="0" applyFont="1"/>
    <xf numFmtId="0" fontId="0" fillId="0" borderId="15" xfId="0" applyBorder="1"/>
    <xf numFmtId="44" fontId="0" fillId="5" borderId="9" xfId="0" applyNumberFormat="1" applyFill="1" applyBorder="1"/>
    <xf numFmtId="44" fontId="0" fillId="5" borderId="16" xfId="0" applyNumberFormat="1" applyFill="1" applyBorder="1"/>
    <xf numFmtId="0" fontId="0" fillId="0" borderId="12" xfId="0" applyBorder="1"/>
    <xf numFmtId="44" fontId="0" fillId="5" borderId="17" xfId="0" applyNumberFormat="1" applyFill="1" applyBorder="1"/>
    <xf numFmtId="0" fontId="1" fillId="0" borderId="19" xfId="0" applyFont="1" applyBorder="1"/>
    <xf numFmtId="44" fontId="1" fillId="5" borderId="20" xfId="0" applyNumberFormat="1" applyFont="1" applyFill="1" applyBorder="1"/>
    <xf numFmtId="44" fontId="0" fillId="0" borderId="1" xfId="0" applyNumberFormat="1" applyBorder="1"/>
    <xf numFmtId="44" fontId="0" fillId="0" borderId="14" xfId="0" applyNumberFormat="1" applyBorder="1"/>
    <xf numFmtId="44" fontId="0" fillId="0" borderId="7" xfId="0" applyNumberFormat="1" applyBorder="1"/>
    <xf numFmtId="44" fontId="1" fillId="0" borderId="14" xfId="0" applyNumberFormat="1" applyFont="1" applyBorder="1"/>
    <xf numFmtId="14" fontId="0" fillId="3" borderId="0" xfId="0" applyNumberFormat="1" applyFill="1"/>
    <xf numFmtId="0" fontId="1" fillId="7" borderId="13" xfId="0" applyFont="1" applyFill="1" applyBorder="1" applyAlignment="1">
      <alignment horizontal="right" wrapText="1"/>
    </xf>
    <xf numFmtId="0" fontId="1" fillId="8" borderId="13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10" borderId="14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10" borderId="14" xfId="0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164" fontId="0" fillId="10" borderId="14" xfId="0" applyNumberFormat="1" applyFill="1" applyBorder="1" applyAlignment="1">
      <alignment wrapText="1"/>
    </xf>
    <xf numFmtId="0" fontId="1" fillId="5" borderId="18" xfId="0" applyFont="1" applyFill="1" applyBorder="1" applyAlignment="1">
      <alignment horizontal="left"/>
    </xf>
    <xf numFmtId="44" fontId="0" fillId="5" borderId="22" xfId="0" applyNumberFormat="1" applyFill="1" applyBorder="1"/>
    <xf numFmtId="0" fontId="1" fillId="5" borderId="21" xfId="0" applyFont="1" applyFill="1" applyBorder="1"/>
    <xf numFmtId="0" fontId="1" fillId="0" borderId="23" xfId="0" applyFont="1" applyBorder="1" applyAlignment="1">
      <alignment horizontal="right"/>
    </xf>
    <xf numFmtId="164" fontId="1" fillId="0" borderId="21" xfId="0" applyNumberFormat="1" applyFont="1" applyBorder="1" applyAlignment="1">
      <alignment horizontal="left"/>
    </xf>
    <xf numFmtId="44" fontId="0" fillId="5" borderId="1" xfId="0" applyNumberForma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1" fillId="5" borderId="1" xfId="0" applyNumberFormat="1" applyFont="1" applyFill="1" applyBorder="1" applyAlignment="1">
      <alignment horizontal="center"/>
    </xf>
    <xf numFmtId="44" fontId="0" fillId="5" borderId="14" xfId="0" applyNumberFormat="1" applyFill="1" applyBorder="1" applyAlignment="1">
      <alignment horizontal="center"/>
    </xf>
    <xf numFmtId="0" fontId="1" fillId="5" borderId="24" xfId="0" applyFont="1" applyFill="1" applyBorder="1"/>
    <xf numFmtId="0" fontId="8" fillId="0" borderId="26" xfId="0" applyFont="1" applyBorder="1" applyAlignment="1">
      <alignment horizontal="right"/>
    </xf>
    <xf numFmtId="169" fontId="8" fillId="0" borderId="26" xfId="0" applyNumberFormat="1" applyFont="1" applyBorder="1" applyAlignment="1">
      <alignment horizontal="right"/>
    </xf>
    <xf numFmtId="44" fontId="1" fillId="0" borderId="5" xfId="1" applyFont="1" applyBorder="1"/>
    <xf numFmtId="44" fontId="0" fillId="0" borderId="5" xfId="1" applyFont="1" applyBorder="1"/>
    <xf numFmtId="44" fontId="0" fillId="0" borderId="5" xfId="1" applyFont="1" applyFill="1" applyBorder="1"/>
    <xf numFmtId="0" fontId="0" fillId="0" borderId="5" xfId="0" applyBorder="1"/>
    <xf numFmtId="0" fontId="0" fillId="7" borderId="0" xfId="0" applyFill="1"/>
    <xf numFmtId="0" fontId="1" fillId="5" borderId="0" xfId="0" applyFont="1" applyFill="1" applyAlignment="1">
      <alignment horizontal="right"/>
    </xf>
    <xf numFmtId="0" fontId="11" fillId="7" borderId="3" xfId="0" applyFont="1" applyFill="1" applyBorder="1"/>
    <xf numFmtId="0" fontId="11" fillId="2" borderId="0" xfId="0" applyFont="1" applyFill="1"/>
    <xf numFmtId="0" fontId="1" fillId="5" borderId="0" xfId="0" applyFont="1" applyFill="1"/>
    <xf numFmtId="0" fontId="9" fillId="5" borderId="5" xfId="0" applyFont="1" applyFill="1" applyBorder="1"/>
    <xf numFmtId="0" fontId="15" fillId="3" borderId="0" xfId="0" applyFont="1" applyFill="1"/>
    <xf numFmtId="0" fontId="14" fillId="3" borderId="0" xfId="0" applyFont="1" applyFill="1"/>
    <xf numFmtId="14" fontId="15" fillId="3" borderId="0" xfId="0" applyNumberFormat="1" applyFont="1" applyFill="1"/>
    <xf numFmtId="14" fontId="15" fillId="3" borderId="0" xfId="0" applyNumberFormat="1" applyFont="1" applyFill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44" fontId="0" fillId="0" borderId="1" xfId="1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3" fillId="7" borderId="3" xfId="0" applyFont="1" applyFill="1" applyBorder="1" applyAlignment="1">
      <alignment horizontal="right"/>
    </xf>
    <xf numFmtId="0" fontId="1" fillId="5" borderId="27" xfId="0" applyFont="1" applyFill="1" applyBorder="1"/>
    <xf numFmtId="0" fontId="13" fillId="7" borderId="5" xfId="0" applyFont="1" applyFill="1" applyBorder="1" applyAlignment="1">
      <alignment horizontal="right"/>
    </xf>
    <xf numFmtId="167" fontId="0" fillId="5" borderId="5" xfId="0" applyNumberFormat="1" applyFill="1" applyBorder="1"/>
    <xf numFmtId="0" fontId="0" fillId="5" borderId="0" xfId="0" applyFill="1" applyAlignment="1">
      <alignment horizontal="center"/>
    </xf>
    <xf numFmtId="0" fontId="1" fillId="0" borderId="0" xfId="0" applyFont="1" applyAlignment="1">
      <alignment horizontal="right"/>
    </xf>
    <xf numFmtId="20" fontId="0" fillId="0" borderId="0" xfId="0" applyNumberFormat="1"/>
    <xf numFmtId="170" fontId="0" fillId="0" borderId="0" xfId="0" applyNumberFormat="1"/>
    <xf numFmtId="0" fontId="7" fillId="5" borderId="0" xfId="0" applyFont="1" applyFill="1"/>
    <xf numFmtId="0" fontId="0" fillId="8" borderId="0" xfId="0" applyFill="1"/>
    <xf numFmtId="0" fontId="15" fillId="3" borderId="0" xfId="0" applyFont="1" applyFill="1" applyAlignment="1">
      <alignment horizontal="left"/>
    </xf>
    <xf numFmtId="0" fontId="0" fillId="7" borderId="1" xfId="0" applyFill="1" applyBorder="1"/>
    <xf numFmtId="49" fontId="0" fillId="5" borderId="0" xfId="0" applyNumberFormat="1" applyFill="1"/>
    <xf numFmtId="0" fontId="1" fillId="5" borderId="1" xfId="0" applyFont="1" applyFill="1" applyBorder="1"/>
    <xf numFmtId="49" fontId="0" fillId="5" borderId="1" xfId="0" applyNumberFormat="1" applyFill="1" applyBorder="1"/>
    <xf numFmtId="0" fontId="0" fillId="5" borderId="1" xfId="0" applyFill="1" applyBorder="1"/>
    <xf numFmtId="44" fontId="0" fillId="5" borderId="1" xfId="0" applyNumberFormat="1" applyFill="1" applyBorder="1"/>
    <xf numFmtId="0" fontId="10" fillId="2" borderId="0" xfId="0" applyFont="1" applyFill="1"/>
    <xf numFmtId="0" fontId="12" fillId="2" borderId="0" xfId="0" applyFont="1" applyFill="1"/>
    <xf numFmtId="0" fontId="13" fillId="5" borderId="5" xfId="0" applyFont="1" applyFill="1" applyBorder="1" applyAlignment="1">
      <alignment horizontal="right"/>
    </xf>
    <xf numFmtId="0" fontId="11" fillId="5" borderId="28" xfId="0" applyFont="1" applyFill="1" applyBorder="1"/>
    <xf numFmtId="0" fontId="13" fillId="5" borderId="28" xfId="0" applyFont="1" applyFill="1" applyBorder="1" applyAlignment="1">
      <alignment horizontal="right"/>
    </xf>
    <xf numFmtId="167" fontId="0" fillId="5" borderId="29" xfId="0" applyNumberFormat="1" applyFill="1" applyBorder="1"/>
    <xf numFmtId="14" fontId="0" fillId="5" borderId="29" xfId="0" applyNumberFormat="1" applyFill="1" applyBorder="1"/>
    <xf numFmtId="0" fontId="0" fillId="5" borderId="32" xfId="0" applyFill="1" applyBorder="1"/>
    <xf numFmtId="0" fontId="13" fillId="7" borderId="2" xfId="0" applyFont="1" applyFill="1" applyBorder="1"/>
    <xf numFmtId="0" fontId="13" fillId="5" borderId="4" xfId="0" applyFont="1" applyFill="1" applyBorder="1"/>
    <xf numFmtId="0" fontId="1" fillId="5" borderId="4" xfId="0" applyFont="1" applyFill="1" applyBorder="1"/>
    <xf numFmtId="0" fontId="0" fillId="5" borderId="4" xfId="0" applyFill="1" applyBorder="1"/>
    <xf numFmtId="0" fontId="0" fillId="5" borderId="6" xfId="0" applyFill="1" applyBorder="1"/>
    <xf numFmtId="14" fontId="0" fillId="9" borderId="1" xfId="0" applyNumberFormat="1" applyFill="1" applyBorder="1" applyProtection="1">
      <protection locked="0"/>
    </xf>
    <xf numFmtId="167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44" fontId="0" fillId="9" borderId="1" xfId="0" applyNumberFormat="1" applyFill="1" applyBorder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9" borderId="21" xfId="0" applyFont="1" applyFill="1" applyBorder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0" fillId="9" borderId="0" xfId="0" applyFill="1" applyProtection="1">
      <protection locked="0"/>
    </xf>
    <xf numFmtId="0" fontId="8" fillId="9" borderId="0" xfId="0" applyFont="1" applyFill="1" applyProtection="1">
      <protection locked="0"/>
    </xf>
    <xf numFmtId="44" fontId="4" fillId="9" borderId="0" xfId="1" applyFont="1" applyFill="1" applyProtection="1">
      <protection locked="0"/>
    </xf>
    <xf numFmtId="44" fontId="0" fillId="9" borderId="0" xfId="1" applyFont="1" applyFill="1" applyProtection="1">
      <protection locked="0"/>
    </xf>
    <xf numFmtId="44" fontId="0" fillId="9" borderId="0" xfId="1" applyFont="1" applyFill="1" applyAlignment="1" applyProtection="1">
      <protection locked="0"/>
    </xf>
    <xf numFmtId="165" fontId="0" fillId="9" borderId="0" xfId="1" applyNumberFormat="1" applyFont="1" applyFill="1" applyProtection="1">
      <protection locked="0"/>
    </xf>
    <xf numFmtId="0" fontId="0" fillId="9" borderId="5" xfId="0" applyFill="1" applyBorder="1" applyProtection="1">
      <protection locked="0"/>
    </xf>
    <xf numFmtId="44" fontId="0" fillId="9" borderId="25" xfId="1" applyFont="1" applyFill="1" applyBorder="1" applyProtection="1">
      <protection locked="0"/>
    </xf>
    <xf numFmtId="44" fontId="5" fillId="9" borderId="25" xfId="1" applyFont="1" applyFill="1" applyBorder="1" applyAlignment="1" applyProtection="1">
      <alignment horizontal="left" indent="3"/>
      <protection locked="0"/>
    </xf>
    <xf numFmtId="44" fontId="0" fillId="0" borderId="25" xfId="1" applyFont="1" applyBorder="1" applyProtection="1">
      <protection locked="0"/>
    </xf>
    <xf numFmtId="44" fontId="0" fillId="0" borderId="0" xfId="1" applyFont="1" applyProtection="1">
      <protection locked="0"/>
    </xf>
    <xf numFmtId="0" fontId="16" fillId="6" borderId="31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top" wrapText="1"/>
    </xf>
    <xf numFmtId="44" fontId="1" fillId="5" borderId="1" xfId="0" applyNumberFormat="1" applyFont="1" applyFill="1" applyBorder="1" applyAlignment="1">
      <alignment horizontal="center"/>
    </xf>
    <xf numFmtId="44" fontId="0" fillId="5" borderId="14" xfId="0" applyNumberForma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'Dashboard Costs'!$B$9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2-488F-8A5D-D35FACC06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8F-417A-9C56-4495724781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8F-417A-9C56-4495724781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0A-49EF-B85A-ADB108DA7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0A-49EF-B85A-ADB108DA7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84-4C6A-8899-7E445B5EE0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6F2-4D03-81D4-5AFBA1FE1F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30-401D-9B5A-DF45F02D857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30-401D-9B5A-DF45F02D857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30-401D-9B5A-DF45F02D857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30-401D-9B5A-DF45F02D857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30-401D-9B5A-DF45F02D857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30-401D-9B5A-DF45F02D857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30-401D-9B5A-DF45F02D857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30-401D-9B5A-DF45F02D857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30-401D-9B5A-DF45F02D857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30-401D-9B5A-DF45F02D857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30-401D-9B5A-DF45F02D857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30-401D-9B5A-DF45F02D857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30-401D-9B5A-DF45F02D857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30-401D-9B5A-DF45F02D857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30-401D-9B5A-DF45F02D857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30-401D-9B5A-DF45F02D857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30-401D-9B5A-DF45F02D8577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30-401D-9B5A-DF45F02D8577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30-401D-9B5A-DF45F02D8577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30-401D-9B5A-DF45F02D8577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30-401D-9B5A-DF45F02D8577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30-401D-9B5A-DF45F02D8577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30-401D-9B5A-DF45F02D8577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30-401D-9B5A-DF45F02D8577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30-401D-9B5A-DF45F02D8577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30-401D-9B5A-DF45F02D8577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30-401D-9B5A-DF45F02D8577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30-401D-9B5A-DF45F02D8577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30-401D-9B5A-DF45F02D8577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30-401D-9B5A-DF45F02D85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Costs'!$A$10:$A$46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'Dashboard Costs'!$B$10:$B$46</c:f>
              <c:numCache>
                <c:formatCode>_("£"* #,##0.00_);_("£"* \(#,##0.00\);_("£"* "-"??_);_(@_)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FED-86CC-5EDD8338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Volume'!$B$5</c:f>
              <c:strCache>
                <c:ptCount val="1"/>
                <c:pt idx="0">
                  <c:v>Volume (m3)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7-49BE-97DA-1ABBDAAAF0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07-49BE-97DA-1ABBDAAAF0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07-49BE-97DA-1ABBDAAAF0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07-49BE-97DA-1ABBDAAAF0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42-4FBE-A04A-DD09AE7118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42-4FBE-A04A-DD09AE7118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5F-4700-B20B-46CB6F9707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395-47FA-B47A-CF113CBD0EE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6A-4202-9F34-572968501D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6A-4202-9F34-572968501D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6A-4202-9F34-572968501D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6A-4202-9F34-572968501DE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6A-4202-9F34-572968501DE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96A-4202-9F34-572968501DE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96A-4202-9F34-572968501DE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96A-4202-9F34-572968501DE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96A-4202-9F34-572968501DE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96A-4202-9F34-572968501DE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96A-4202-9F34-572968501DE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96A-4202-9F34-572968501DE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96A-4202-9F34-572968501DE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96A-4202-9F34-572968501DE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96A-4202-9F34-572968501DE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96A-4202-9F34-572968501DE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96A-4202-9F34-572968501DE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B96A-4202-9F34-572968501DE1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B96A-4202-9F34-572968501DE1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B96A-4202-9F34-572968501DE1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B96A-4202-9F34-572968501DE1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B96A-4202-9F34-572968501DE1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B96A-4202-9F34-572968501DE1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B96A-4202-9F34-572968501DE1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B96A-4202-9F34-572968501DE1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B96A-4202-9F34-572968501DE1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B96A-4202-9F34-572968501DE1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B96A-4202-9F34-572968501DE1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B96A-4202-9F34-572968501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Volume'!$A$6:$A$42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 Volume'!$B$6:$B$42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507-B724-2FFE6B4C55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Weight'!$B$5</c:f>
              <c:strCache>
                <c:ptCount val="1"/>
                <c:pt idx="0">
                  <c:v>Weight (t)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AB-44A9-80C3-311E7C5EC2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AB-44A9-80C3-311E7C5EC2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AB-44A9-80C3-311E7C5EC2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AB-44A9-80C3-311E7C5EC2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E5-4CA3-AA82-72AC1A9C5B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9E5-4CA3-AA82-72AC1A9C5BE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9E-4A6F-A092-DF85DDE08A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EA-4029-A003-6D1A855198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ED9-4346-A369-DA9A5939D43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ED9-4346-A369-DA9A5939D43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ED9-4346-A369-DA9A5939D43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ED9-4346-A369-DA9A5939D43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ED9-4346-A369-DA9A5939D43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ED9-4346-A369-DA9A5939D43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ED9-4346-A369-DA9A5939D43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ED9-4346-A369-DA9A5939D43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ED9-4346-A369-DA9A5939D43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ED9-4346-A369-DA9A5939D43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ED9-4346-A369-DA9A5939D43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ED9-4346-A369-DA9A5939D43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ED9-4346-A369-DA9A5939D43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ED9-4346-A369-DA9A5939D43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ED9-4346-A369-DA9A5939D43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CED9-4346-A369-DA9A5939D43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ED9-4346-A369-DA9A5939D43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CED9-4346-A369-DA9A5939D43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ED9-4346-A369-DA9A5939D43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CED9-4346-A369-DA9A5939D43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CED9-4346-A369-DA9A5939D43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CED9-4346-A369-DA9A5939D43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CED9-4346-A369-DA9A5939D43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CED9-4346-A369-DA9A5939D43D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CED9-4346-A369-DA9A5939D43D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CED9-4346-A369-DA9A5939D43D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CED9-4346-A369-DA9A5939D43D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CED9-4346-A369-DA9A5939D43D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CED9-4346-A369-DA9A5939D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Weight'!$A$6:$A$42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 Weight'!$B$6:$B$42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AB-44A9-80C3-311E7C5EC2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Source'!$B$5</c:f>
              <c:strCache>
                <c:ptCount val="1"/>
                <c:pt idx="0">
                  <c:v>Volume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B-4C20-B19E-DD8BDCFC3C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B-4C20-B19E-DD8BDCFC3C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B-4C20-B19E-DD8BDCFC3C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26-4A62-BFA8-99354223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C5-460D-9F26-E4662F701D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95-4E68-9B52-E41A77B474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13-4CA8-9DFB-96473AB1463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13-4CA8-9DFB-96473AB1463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76-48EF-8DBD-657E2D5B4B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76-48EF-8DBD-657E2D5B4B5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76-48EF-8DBD-657E2D5B4B5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76-48EF-8DBD-657E2D5B4B5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976-48EF-8DBD-657E2D5B4B5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976-48EF-8DBD-657E2D5B4B5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976-48EF-8DBD-657E2D5B4B5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976-48EF-8DBD-657E2D5B4B5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976-48EF-8DBD-657E2D5B4B5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976-48EF-8DBD-657E2D5B4B5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976-48EF-8DBD-657E2D5B4B5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976-48EF-8DBD-657E2D5B4B5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976-48EF-8DBD-657E2D5B4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Source'!$A$6:$A$26</c:f>
              <c:strCache>
                <c:ptCount val="21"/>
                <c:pt idx="0">
                  <c:v>Application and residue waste (spillage)</c:v>
                </c:pt>
                <c:pt idx="1">
                  <c:v>Canteen and office waste</c:v>
                </c:pt>
                <c:pt idx="2">
                  <c:v>Client/designer change of mind</c:v>
                </c:pt>
                <c:pt idx="3">
                  <c:v>Conversion waste (dimensions)</c:v>
                </c:pt>
                <c:pt idx="4">
                  <c:v>Criminal waste (vandalism)</c:v>
                </c:pt>
                <c:pt idx="5">
                  <c:v>Cutting waste</c:v>
                </c:pt>
                <c:pt idx="6">
                  <c:v>Damaged: Site storage and internal site transit waste</c:v>
                </c:pt>
                <c:pt idx="7">
                  <c:v>Damaged: Transport and delivery</c:v>
                </c:pt>
                <c:pt idx="8">
                  <c:v>Damaged: weather</c:v>
                </c:pt>
                <c:pt idx="9">
                  <c:v>Demolition and stripping out</c:v>
                </c:pt>
                <c:pt idx="10">
                  <c:v>Design error</c:v>
                </c:pt>
                <c:pt idx="11">
                  <c:v>Excess materials (too much in a batch)</c:v>
                </c:pt>
                <c:pt idx="12">
                  <c:v>Fixing waste: built in wrong place</c:v>
                </c:pt>
                <c:pt idx="13">
                  <c:v>Fixing waste: poor workmanship/quality</c:v>
                </c:pt>
                <c:pt idx="14">
                  <c:v>Learning waste</c:v>
                </c:pt>
                <c:pt idx="15">
                  <c:v>Manufacturing defect</c:v>
                </c:pt>
                <c:pt idx="16">
                  <c:v>Not recovered by supplier (packaging)</c:v>
                </c:pt>
                <c:pt idx="17">
                  <c:v>Over ordering</c:v>
                </c:pt>
                <c:pt idx="18">
                  <c:v>Temporary Works</c:v>
                </c:pt>
                <c:pt idx="19">
                  <c:v>Waste caused by other trades (if unprotected)</c:v>
                </c:pt>
                <c:pt idx="20">
                  <c:v>Wrongly specified (by contractor)</c:v>
                </c:pt>
              </c:strCache>
            </c:strRef>
          </c:cat>
          <c:val>
            <c:numRef>
              <c:f>'Dash Source'!$B$6:$B$26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3-412F-8006-8B85BFD046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Condition'!$B$5</c:f>
              <c:strCache>
                <c:ptCount val="1"/>
                <c:pt idx="0">
                  <c:v>Volume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6-4CE9-B6D4-894E06B7D9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91-4301-A33D-9757650305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F6-4EEC-AB72-EF679EEB44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E1-43C1-A0FE-58E36C0F9C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E1-43C1-A0FE-58E36C0F9C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E1-43C1-A0FE-58E36C0F9C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Condition'!$A$6:$A$11</c:f>
              <c:strCache>
                <c:ptCount val="6"/>
                <c:pt idx="0">
                  <c:v>As good as new</c:v>
                </c:pt>
                <c:pt idx="1">
                  <c:v>Potentially reusable</c:v>
                </c:pt>
                <c:pt idx="2">
                  <c:v>Slight damage/Reparable</c:v>
                </c:pt>
                <c:pt idx="3">
                  <c:v>Suitable for recycling</c:v>
                </c:pt>
                <c:pt idx="4">
                  <c:v>Mostly recyclable</c:v>
                </c:pt>
                <c:pt idx="5">
                  <c:v>Disposal/Landfill</c:v>
                </c:pt>
              </c:strCache>
            </c:strRef>
          </c:cat>
          <c:val>
            <c:numRef>
              <c:f>'Dash Condition'!$B$6:$B$11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C-476D-8C5C-DDA1706876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109536</xdr:colOff>
      <xdr:row>4</xdr:row>
      <xdr:rowOff>38099</xdr:rowOff>
    </xdr:from>
    <xdr:to>
      <xdr:col>11</xdr:col>
      <xdr:colOff>219075</xdr:colOff>
      <xdr:row>65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152400</xdr:colOff>
      <xdr:row>7</xdr:row>
      <xdr:rowOff>152400</xdr:rowOff>
    </xdr:from>
    <xdr:ext cx="2052293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53175" y="1524000"/>
          <a:ext cx="2052293" cy="953466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←</a:t>
          </a:r>
          <a:r>
            <a:rPr lang="en-GB" sz="1100" b="1">
              <a:solidFill>
                <a:schemeClr val="bg1"/>
              </a:solidFill>
            </a:rPr>
            <a:t>To update table:</a:t>
          </a:r>
        </a:p>
        <a:p>
          <a:r>
            <a:rPr lang="en-GB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(1) Click drop-down filter; </a:t>
          </a:r>
        </a:p>
        <a:p>
          <a:r>
            <a:rPr lang="en-GB" sz="1100" b="1">
              <a:solidFill>
                <a:schemeClr val="bg1"/>
              </a:solidFill>
            </a:rPr>
            <a:t>(2) Select all; </a:t>
          </a:r>
        </a:p>
        <a:p>
          <a:r>
            <a:rPr lang="en-GB" sz="1100" b="1">
              <a:solidFill>
                <a:schemeClr val="bg1"/>
              </a:solidFill>
            </a:rPr>
            <a:t>(3) Clear zeros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Repeat for all Dashboard Tables</a:t>
          </a:r>
          <a:endParaRPr lang="en-GB">
            <a:solidFill>
              <a:schemeClr val="bg1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4</xdr:row>
      <xdr:rowOff>9525</xdr:rowOff>
    </xdr:from>
    <xdr:to>
      <xdr:col>8</xdr:col>
      <xdr:colOff>561974</xdr:colOff>
      <xdr:row>56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4</xdr:row>
      <xdr:rowOff>9525</xdr:rowOff>
    </xdr:from>
    <xdr:to>
      <xdr:col>8</xdr:col>
      <xdr:colOff>561974</xdr:colOff>
      <xdr:row>56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3</xdr:row>
      <xdr:rowOff>161925</xdr:rowOff>
    </xdr:from>
    <xdr:to>
      <xdr:col>17</xdr:col>
      <xdr:colOff>9524</xdr:colOff>
      <xdr:row>40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47624</xdr:rowOff>
    </xdr:from>
    <xdr:to>
      <xdr:col>16</xdr:col>
      <xdr:colOff>571500</xdr:colOff>
      <xdr:row>34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_Cost" displayName="Table2_Cost" ref="A9:B46" totalsRowShown="0" headerRowDxfId="9">
  <autoFilter ref="A9:B46" xr:uid="{00000000-0009-0000-0100-000002000000}"/>
  <tableColumns count="2">
    <tableColumn id="1" xr3:uid="{00000000-0010-0000-0000-000001000000}" name="Materials Breakdown: sample from skip">
      <calculatedColumnFormula>IF(ISBLANK(Calcs!A2),#N/A,Calcs!A2)</calculatedColumnFormula>
    </tableColumn>
    <tableColumn id="2" xr3:uid="{00000000-0010-0000-0000-000002000000}" name="Cost" dataDxfId="8" dataCellStyle="Currency">
      <calculatedColumnFormula>IF(ISBLANK(Calcs!B2),#N/A,Calcs!B2)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_Volume" displayName="Table3_Volume" ref="A5:B42" totalsRowShown="0" headerRowDxfId="7">
  <autoFilter ref="A5:B42" xr:uid="{00000000-0009-0000-0100-000003000000}"/>
  <tableColumns count="2">
    <tableColumn id="1" xr3:uid="{00000000-0010-0000-0100-000001000000}" name="Materials Breakdown">
      <calculatedColumnFormula>Calcs!A2</calculatedColumnFormula>
    </tableColumn>
    <tableColumn id="2" xr3:uid="{00000000-0010-0000-0100-000002000000}" name="Volume (m3)">
      <calculatedColumnFormula>Calcs!N2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2_Weight" displayName="Table32_Weight" ref="A5:B42" totalsRowShown="0" headerRowDxfId="6">
  <autoFilter ref="A5:B42" xr:uid="{00000000-0009-0000-0100-000001000000}"/>
  <tableColumns count="2">
    <tableColumn id="1" xr3:uid="{00000000-0010-0000-0200-000001000000}" name="Materials Breakdown">
      <calculatedColumnFormula>Calcs!A2</calculatedColumnFormula>
    </tableColumn>
    <tableColumn id="2" xr3:uid="{00000000-0010-0000-0200-000002000000}" name="Weight (t)" dataDxfId="5">
      <calculatedColumnFormula>Calcs!O2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_Source" displayName="Table4_Source" ref="A5:B26" totalsRowShown="0">
  <autoFilter ref="A5:B26" xr:uid="{00000000-0009-0000-0100-000004000000}"/>
  <tableColumns count="2">
    <tableColumn id="1" xr3:uid="{00000000-0010-0000-0300-000001000000}" name="Source" dataDxfId="4">
      <calculatedColumnFormula>Calcs!P2</calculatedColumnFormula>
    </tableColumn>
    <tableColumn id="2" xr3:uid="{00000000-0010-0000-0300-000002000000}" name="Volume">
      <calculatedColumnFormula>Calcs!Q2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_Condition" displayName="Table5_Condition" ref="A5:B11" totalsRowShown="0">
  <autoFilter ref="A5:B11" xr:uid="{00000000-0009-0000-0100-000005000000}"/>
  <tableColumns count="2">
    <tableColumn id="1" xr3:uid="{00000000-0010-0000-0400-000001000000}" name="Condition">
      <calculatedColumnFormula>Calcs!S2</calculatedColumnFormula>
    </tableColumn>
    <tableColumn id="2" xr3:uid="{00000000-0010-0000-0400-000002000000}" name="Volume">
      <calculatedColumnFormula>Calcs!T2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6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anyjunk.co.uk/blog/2020/03/20/average-skip-hire-prices/" TargetMode="External"/><Relationship Id="rId1" Type="http://schemas.openxmlformats.org/officeDocument/2006/relationships/hyperlink" Target="https://skiphire.services/pri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5"/>
  <sheetViews>
    <sheetView workbookViewId="0">
      <selection activeCell="B9" sqref="B9"/>
    </sheetView>
  </sheetViews>
  <sheetFormatPr defaultColWidth="9.1796875" defaultRowHeight="14.5" x14ac:dyDescent="0.35"/>
  <cols>
    <col min="1" max="1" width="37.7265625" style="30" customWidth="1"/>
    <col min="2" max="2" width="40.1796875" style="30" bestFit="1" customWidth="1"/>
    <col min="3" max="3" width="35.26953125" style="30" customWidth="1"/>
    <col min="4" max="4" width="3" style="30" customWidth="1"/>
    <col min="5" max="5" width="4" style="30" customWidth="1"/>
    <col min="6" max="6" width="52.453125" style="30" bestFit="1" customWidth="1"/>
    <col min="7" max="16384" width="9.1796875" style="30"/>
  </cols>
  <sheetData>
    <row r="1" spans="1:6" s="73" customFormat="1" ht="21" x14ac:dyDescent="0.5">
      <c r="A1" s="111" t="s">
        <v>0</v>
      </c>
      <c r="B1" s="72"/>
      <c r="C1" s="86" t="s">
        <v>1</v>
      </c>
      <c r="D1" s="88"/>
      <c r="F1" s="103"/>
    </row>
    <row r="2" spans="1:6" s="73" customFormat="1" ht="21" x14ac:dyDescent="0.5">
      <c r="A2" s="112"/>
      <c r="B2" s="106"/>
      <c r="C2" s="107"/>
      <c r="D2" s="105"/>
      <c r="F2" s="103"/>
    </row>
    <row r="3" spans="1:6" ht="21" x14ac:dyDescent="0.5">
      <c r="A3" s="113"/>
      <c r="B3" s="142" t="s">
        <v>2</v>
      </c>
      <c r="C3" s="143"/>
      <c r="D3" s="110"/>
      <c r="F3" s="104"/>
    </row>
    <row r="4" spans="1:6" ht="21" x14ac:dyDescent="0.5">
      <c r="A4" s="26"/>
      <c r="B4" s="140" t="s">
        <v>3</v>
      </c>
      <c r="C4" s="141"/>
      <c r="D4" s="110"/>
      <c r="F4" s="104"/>
    </row>
    <row r="5" spans="1:6" ht="21" x14ac:dyDescent="0.5">
      <c r="A5" s="113"/>
      <c r="B5" s="109"/>
      <c r="C5" s="108"/>
      <c r="D5" s="27"/>
      <c r="F5" s="104"/>
    </row>
    <row r="6" spans="1:6" x14ac:dyDescent="0.35">
      <c r="A6" s="113" t="s">
        <v>4</v>
      </c>
      <c r="B6" s="116"/>
      <c r="C6" s="117"/>
      <c r="D6" s="89"/>
    </row>
    <row r="7" spans="1:6" x14ac:dyDescent="0.35">
      <c r="A7" s="114"/>
      <c r="B7" s="26"/>
      <c r="C7" s="90"/>
      <c r="D7" s="27"/>
    </row>
    <row r="8" spans="1:6" x14ac:dyDescent="0.35">
      <c r="A8" s="113" t="s">
        <v>5</v>
      </c>
      <c r="B8" s="118"/>
      <c r="C8" s="26"/>
      <c r="D8" s="27"/>
    </row>
    <row r="9" spans="1:6" x14ac:dyDescent="0.35">
      <c r="A9" s="113" t="s">
        <v>6</v>
      </c>
      <c r="B9" s="118"/>
      <c r="C9" s="26"/>
      <c r="D9" s="27"/>
    </row>
    <row r="10" spans="1:6" x14ac:dyDescent="0.35">
      <c r="A10" s="113" t="s">
        <v>7</v>
      </c>
      <c r="B10" s="118"/>
      <c r="C10" s="26"/>
      <c r="D10" s="27"/>
    </row>
    <row r="11" spans="1:6" x14ac:dyDescent="0.35">
      <c r="A11" s="114"/>
      <c r="B11" s="26"/>
      <c r="C11" s="26"/>
      <c r="D11" s="27"/>
    </row>
    <row r="12" spans="1:6" x14ac:dyDescent="0.35">
      <c r="A12" s="74" t="s">
        <v>8</v>
      </c>
      <c r="B12" s="119"/>
      <c r="C12" s="94" t="s">
        <v>9</v>
      </c>
      <c r="D12" s="75"/>
    </row>
    <row r="13" spans="1:6" x14ac:dyDescent="0.35">
      <c r="A13" s="113" t="s">
        <v>10</v>
      </c>
      <c r="B13" s="119"/>
      <c r="C13" s="94" t="s">
        <v>9</v>
      </c>
      <c r="D13" s="75"/>
    </row>
    <row r="14" spans="1:6" x14ac:dyDescent="0.35">
      <c r="A14" s="113" t="s">
        <v>11</v>
      </c>
      <c r="B14" s="119"/>
      <c r="C14" s="94" t="s">
        <v>9</v>
      </c>
      <c r="D14" s="75"/>
    </row>
    <row r="15" spans="1:6" x14ac:dyDescent="0.35">
      <c r="A15" s="113" t="s">
        <v>12</v>
      </c>
      <c r="B15" s="119"/>
      <c r="C15" s="94" t="s">
        <v>9</v>
      </c>
      <c r="D15" s="75"/>
    </row>
    <row r="16" spans="1:6" x14ac:dyDescent="0.35">
      <c r="A16" s="113" t="s">
        <v>13</v>
      </c>
      <c r="B16" s="119"/>
      <c r="C16" s="94" t="s">
        <v>9</v>
      </c>
      <c r="D16" s="75"/>
    </row>
    <row r="17" spans="1:4" x14ac:dyDescent="0.35">
      <c r="A17" s="114"/>
      <c r="B17" s="26"/>
      <c r="C17" s="26"/>
      <c r="D17" s="27"/>
    </row>
    <row r="18" spans="1:4" x14ac:dyDescent="0.35">
      <c r="A18" s="113" t="s">
        <v>14</v>
      </c>
      <c r="B18" s="26"/>
      <c r="C18" s="26"/>
      <c r="D18" s="27"/>
    </row>
    <row r="19" spans="1:4" x14ac:dyDescent="0.35">
      <c r="A19" s="114" t="s">
        <v>15</v>
      </c>
      <c r="B19" s="118"/>
      <c r="C19" s="74" t="s">
        <v>16</v>
      </c>
      <c r="D19" s="28"/>
    </row>
    <row r="20" spans="1:4" x14ac:dyDescent="0.35">
      <c r="A20" s="114" t="s">
        <v>17</v>
      </c>
      <c r="B20" s="118"/>
      <c r="C20" s="74" t="s">
        <v>16</v>
      </c>
      <c r="D20" s="28"/>
    </row>
    <row r="21" spans="1:4" x14ac:dyDescent="0.35">
      <c r="A21" s="114" t="s">
        <v>18</v>
      </c>
      <c r="B21" s="118"/>
      <c r="C21" s="74" t="s">
        <v>16</v>
      </c>
      <c r="D21" s="28"/>
    </row>
    <row r="22" spans="1:4" x14ac:dyDescent="0.35">
      <c r="A22" s="114" t="s">
        <v>19</v>
      </c>
      <c r="B22" s="97">
        <f>SUM(B19:B21)</f>
        <v>0</v>
      </c>
      <c r="C22" s="74"/>
      <c r="D22" s="28"/>
    </row>
    <row r="23" spans="1:4" x14ac:dyDescent="0.35">
      <c r="A23" s="114" t="s">
        <v>20</v>
      </c>
      <c r="B23" s="118"/>
      <c r="C23" s="74" t="s">
        <v>16</v>
      </c>
      <c r="D23" s="28"/>
    </row>
    <row r="24" spans="1:4" x14ac:dyDescent="0.35">
      <c r="A24" s="114"/>
      <c r="B24" s="71"/>
      <c r="C24" s="74"/>
      <c r="D24" s="28"/>
    </row>
    <row r="25" spans="1:4" ht="15" thickBot="1" x14ac:dyDescent="0.4">
      <c r="A25" s="115" t="s">
        <v>21</v>
      </c>
      <c r="B25" s="120">
        <v>8</v>
      </c>
      <c r="C25" s="87" t="s">
        <v>22</v>
      </c>
      <c r="D25" s="29"/>
    </row>
  </sheetData>
  <sheetProtection sheet="1" objects="1" scenarios="1" formatCells="0" selectLockedCells="1"/>
  <mergeCells count="2">
    <mergeCell ref="B4:C4"/>
    <mergeCell ref="B3:C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Lists!$L$2:$L$8</xm:f>
          </x14:formula1>
          <xm:sqref>B25</xm:sqref>
        </x14:dataValidation>
        <x14:dataValidation type="list" allowBlank="1" showInputMessage="1" showErrorMessage="1" xr:uid="{00000000-0002-0000-0000-000001000000}">
          <x14:formula1>
            <xm:f>Lists!$Z$2:$Z$26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Lists!$Y$2:$Y$5</xm:f>
          </x14:formula1>
          <xm:sqref>B12</xm:sqref>
        </x14:dataValidation>
        <x14:dataValidation type="list" allowBlank="1" showInputMessage="1" showErrorMessage="1" xr:uid="{00000000-0002-0000-0000-000003000000}">
          <x14:formula1>
            <xm:f>Lists!$AA$2:$AA$11</xm:f>
          </x14:formula1>
          <xm:sqref>B14</xm:sqref>
        </x14:dataValidation>
        <x14:dataValidation type="list" allowBlank="1" showInputMessage="1" showErrorMessage="1" xr:uid="{00000000-0002-0000-0000-000004000000}">
          <x14:formula1>
            <xm:f>Lists!$AC$2:$AC$5</xm:f>
          </x14:formula1>
          <xm:sqref>B15</xm:sqref>
        </x14:dataValidation>
        <x14:dataValidation type="list" allowBlank="1" showInputMessage="1" showErrorMessage="1" xr:uid="{00000000-0002-0000-0000-000005000000}">
          <x14:formula1>
            <xm:f>Lists!$AD$2:$AD$24</xm:f>
          </x14:formula1>
          <xm:sqref>B16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03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12.81640625" customWidth="1"/>
    <col min="2" max="2" width="50.453125" customWidth="1"/>
    <col min="3" max="3" width="6.453125" style="8" bestFit="1" customWidth="1"/>
    <col min="4" max="4" width="10.81640625" style="4" bestFit="1" customWidth="1"/>
    <col min="5" max="5" width="11.54296875" style="4" bestFit="1" customWidth="1"/>
    <col min="6" max="6" width="11.54296875" style="13" bestFit="1" customWidth="1"/>
    <col min="7" max="7" width="15.26953125" style="4" bestFit="1" customWidth="1"/>
    <col min="8" max="8" width="10.54296875" style="4" bestFit="1" customWidth="1"/>
    <col min="9" max="9" width="9.1796875" style="4"/>
    <col min="10" max="11" width="11.54296875" bestFit="1" customWidth="1"/>
    <col min="12" max="12" width="14.54296875" bestFit="1" customWidth="1"/>
    <col min="13" max="13" width="21.453125" customWidth="1"/>
    <col min="14" max="14" width="23.26953125" style="69" bestFit="1" customWidth="1"/>
    <col min="21" max="21" width="9.54296875" bestFit="1" customWidth="1"/>
    <col min="22" max="22" width="10.54296875" bestFit="1" customWidth="1"/>
    <col min="23" max="23" width="9.453125" bestFit="1" customWidth="1"/>
    <col min="25" max="26" width="10.54296875" customWidth="1"/>
    <col min="27" max="27" width="12.81640625" customWidth="1"/>
    <col min="28" max="28" width="12.26953125" bestFit="1" customWidth="1"/>
    <col min="31" max="31" width="12.26953125" bestFit="1" customWidth="1"/>
    <col min="37" max="37" width="15.453125" bestFit="1" customWidth="1"/>
    <col min="38" max="38" width="13.453125" bestFit="1" customWidth="1"/>
    <col min="39" max="39" width="12.7265625" bestFit="1" customWidth="1"/>
    <col min="40" max="40" width="18" bestFit="1" customWidth="1"/>
    <col min="42" max="42" width="10" bestFit="1" customWidth="1"/>
  </cols>
  <sheetData>
    <row r="1" spans="1:42" x14ac:dyDescent="0.35">
      <c r="A1" s="1" t="s">
        <v>305</v>
      </c>
      <c r="B1" s="1" t="s">
        <v>306</v>
      </c>
      <c r="C1" s="7" t="s">
        <v>307</v>
      </c>
      <c r="D1" s="5"/>
      <c r="E1" s="5" t="s">
        <v>308</v>
      </c>
      <c r="F1" s="12" t="s">
        <v>309</v>
      </c>
      <c r="G1" s="5" t="s">
        <v>310</v>
      </c>
      <c r="H1" s="5" t="s">
        <v>311</v>
      </c>
      <c r="I1" s="5" t="s">
        <v>312</v>
      </c>
      <c r="J1" s="5" t="s">
        <v>313</v>
      </c>
      <c r="K1" s="5" t="s">
        <v>314</v>
      </c>
      <c r="L1" s="5" t="s">
        <v>315</v>
      </c>
      <c r="M1" s="5" t="s">
        <v>316</v>
      </c>
      <c r="N1" s="66" t="s">
        <v>317</v>
      </c>
      <c r="O1" s="30"/>
      <c r="P1" s="5" t="s">
        <v>318</v>
      </c>
      <c r="Q1" s="1" t="s">
        <v>319</v>
      </c>
      <c r="R1" s="1" t="s">
        <v>320</v>
      </c>
      <c r="S1" s="1" t="s">
        <v>307</v>
      </c>
      <c r="T1" s="1" t="s">
        <v>321</v>
      </c>
      <c r="U1" s="1" t="s">
        <v>322</v>
      </c>
      <c r="V1" s="1" t="s">
        <v>323</v>
      </c>
      <c r="W1" s="1" t="s">
        <v>324</v>
      </c>
      <c r="X1" s="1" t="s">
        <v>325</v>
      </c>
      <c r="Y1" s="1" t="s">
        <v>326</v>
      </c>
      <c r="Z1" s="1" t="s">
        <v>327</v>
      </c>
      <c r="AA1" s="1" t="s">
        <v>328</v>
      </c>
      <c r="AB1" s="1" t="s">
        <v>329</v>
      </c>
      <c r="AC1" s="1" t="s">
        <v>330</v>
      </c>
      <c r="AD1" s="1" t="s">
        <v>331</v>
      </c>
      <c r="AE1" s="1" t="s">
        <v>332</v>
      </c>
      <c r="AG1" s="1"/>
      <c r="AH1" s="1"/>
      <c r="AI1" s="1" t="s">
        <v>333</v>
      </c>
      <c r="AJ1" s="1" t="s">
        <v>334</v>
      </c>
      <c r="AK1" s="1" t="s">
        <v>335</v>
      </c>
      <c r="AL1" s="1" t="s">
        <v>336</v>
      </c>
      <c r="AM1" s="1" t="s">
        <v>337</v>
      </c>
      <c r="AN1" s="5" t="s">
        <v>338</v>
      </c>
      <c r="AO1" s="1" t="s">
        <v>339</v>
      </c>
      <c r="AP1" s="1" t="s">
        <v>340</v>
      </c>
    </row>
    <row r="2" spans="1:42" x14ac:dyDescent="0.35">
      <c r="A2" s="70" t="str">
        <f>Lists!$A$35</f>
        <v>Other_Each</v>
      </c>
      <c r="B2" s="129" t="s">
        <v>341</v>
      </c>
      <c r="C2" s="22" t="s">
        <v>342</v>
      </c>
      <c r="D2" s="5"/>
      <c r="E2" s="131"/>
      <c r="F2" s="14">
        <f>SUMIF('Data input'!D$3:D$202,B2,'Data input'!$G$3:$G$202)</f>
        <v>0</v>
      </c>
      <c r="G2" s="4">
        <f t="shared" ref="G2:G10" si="0">E2*F2</f>
        <v>0</v>
      </c>
      <c r="H2" s="131">
        <v>0</v>
      </c>
      <c r="I2" s="131">
        <v>0</v>
      </c>
      <c r="J2" s="6">
        <f>H2+I2</f>
        <v>0</v>
      </c>
      <c r="K2" s="6">
        <f t="shared" ref="K2:K10" si="1">F2*J2</f>
        <v>0</v>
      </c>
      <c r="L2" s="4">
        <f>SUMIF('Data input'!$D$3:$D$202,B2,$X$3:$X$202)</f>
        <v>0</v>
      </c>
      <c r="M2" s="4">
        <f>SUMIF('Data input'!$D$3:$D$202,B2,$AC$3:$AC$202)</f>
        <v>0</v>
      </c>
      <c r="N2" s="67">
        <f>SUMIF('Data input'!$D$3:$D$202,B2,$AD$3:$AD$202)</f>
        <v>0</v>
      </c>
      <c r="O2" s="30"/>
      <c r="AI2">
        <f>'Set up'!B25</f>
        <v>8</v>
      </c>
      <c r="AJ2">
        <f>VLOOKUP('Set up'!B25,Lists!L2:O8,3)</f>
        <v>24</v>
      </c>
      <c r="AK2" s="4">
        <f>Lists!X2+Lists!X3+Lists!X4</f>
        <v>0</v>
      </c>
      <c r="AL2" s="4">
        <f>Lists!X5</f>
        <v>0</v>
      </c>
      <c r="AM2" s="4">
        <f>MAX(AK2,AL2)</f>
        <v>0</v>
      </c>
      <c r="AN2" s="6">
        <f>AJ2*AM2</f>
        <v>0</v>
      </c>
      <c r="AO2">
        <f>VLOOKUP('Set up'!B25,Lists!L2:O8,2)</f>
        <v>5</v>
      </c>
      <c r="AP2">
        <f>AO2/5</f>
        <v>1</v>
      </c>
    </row>
    <row r="3" spans="1:42" x14ac:dyDescent="0.35">
      <c r="A3" s="70" t="str">
        <f>Lists!$A$35</f>
        <v>Other_Each</v>
      </c>
      <c r="B3" s="129" t="s">
        <v>343</v>
      </c>
      <c r="C3" s="22" t="s">
        <v>342</v>
      </c>
      <c r="E3" s="132"/>
      <c r="F3" s="14">
        <f>SUMIF('Data input'!D$3:D$202,B3,'Data input'!$G$3:$G$202)</f>
        <v>0</v>
      </c>
      <c r="G3" s="4">
        <f t="shared" si="0"/>
        <v>0</v>
      </c>
      <c r="H3" s="131">
        <v>0</v>
      </c>
      <c r="I3" s="131">
        <v>0</v>
      </c>
      <c r="J3" s="6">
        <f t="shared" ref="J3:J10" si="2">H3+I3</f>
        <v>0</v>
      </c>
      <c r="K3" s="6">
        <f t="shared" si="1"/>
        <v>0</v>
      </c>
      <c r="L3" s="4">
        <f>SUMIF('Data input'!$D$3:$D$202,B3,$X$3:$X$202)</f>
        <v>0</v>
      </c>
      <c r="M3" s="4">
        <f>SUMIF('Data input'!$D$3:$D$202,B3,$AC$3:$AC$202)</f>
        <v>0</v>
      </c>
      <c r="N3" s="67">
        <f>SUMIF('Data input'!$D$3:$D$202,B3,$AD$3:$AD$202)</f>
        <v>0</v>
      </c>
      <c r="O3" s="30">
        <f>'Data input'!A3</f>
        <v>1</v>
      </c>
      <c r="P3" s="11">
        <f>'Data input'!G3*('Data input'!H3/1000)</f>
        <v>0</v>
      </c>
      <c r="Q3" s="11">
        <f>'Data input'!G3*('Data input'!H3/1000)*('Data input'!I3/1000)</f>
        <v>0</v>
      </c>
      <c r="R3" s="11">
        <f>'Data input'!G3*('Data input'!H3/1000)*('Data input'!I3/1000)*('Data input'!J3/1000)</f>
        <v>0</v>
      </c>
      <c r="S3" s="11" t="str">
        <f>IF(ISNA(VLOOKUP('Data input'!D3,$B$2:$C$200,2,FALSE)),"",VLOOKUP('Data input'!D3,$B$2:$C$200,2,FALSE))</f>
        <v/>
      </c>
      <c r="T3" s="11" t="str">
        <f>IF(S3="m3",Costs!R3,IF(S3="Each",'Data input'!G3,IF(S3="m",Costs!P3,IF(S3="m2",Costs!Q3,""))))</f>
        <v/>
      </c>
      <c r="U3" s="4" t="str">
        <f>IF(ISNA(VLOOKUP('Data input'!D3,$B$2:$J$200,9,FALSE)),"",VLOOKUP('Data input'!D3,$B$2:$J$200,9,FALSE))</f>
        <v/>
      </c>
      <c r="V3" s="4" t="e">
        <f>T3*U3</f>
        <v>#VALUE!</v>
      </c>
      <c r="W3">
        <f>'Data input'!M3</f>
        <v>0</v>
      </c>
      <c r="X3" s="4">
        <f t="shared" ref="X3:X34" si="3">SUMIF(W3,"Yes",V3)</f>
        <v>0</v>
      </c>
      <c r="Y3" s="4" t="e">
        <f>V3</f>
        <v>#VALUE!</v>
      </c>
      <c r="Z3" s="4" t="str">
        <f>IF(ISNA(VLOOKUP('Data input'!D3,$B$2:$E$200,4,FALSE)),"",VLOOKUP('Data input'!D3,$B$2:$E$200,4,FALSE))</f>
        <v/>
      </c>
      <c r="AA3" s="4" t="e">
        <f t="shared" ref="AA3:AA34" si="4">T3*Z3</f>
        <v>#VALUE!</v>
      </c>
      <c r="AB3">
        <f>'Data input'!N3</f>
        <v>0</v>
      </c>
      <c r="AC3">
        <f>SUMIF(AB3,"Yes",Y3)</f>
        <v>0</v>
      </c>
      <c r="AD3" s="4">
        <f>SUMIF(AB3,"Yes",AA3)</f>
        <v>0</v>
      </c>
      <c r="AE3" s="6">
        <f>AC3+AD3</f>
        <v>0</v>
      </c>
    </row>
    <row r="4" spans="1:42" x14ac:dyDescent="0.35">
      <c r="A4" s="70" t="str">
        <f>Lists!$A$35</f>
        <v>Other_Each</v>
      </c>
      <c r="B4" s="129" t="s">
        <v>344</v>
      </c>
      <c r="C4" s="22" t="s">
        <v>342</v>
      </c>
      <c r="E4" s="132">
        <v>0</v>
      </c>
      <c r="F4" s="14">
        <f>SUMIF('Data input'!D$3:D$202,B4,'Data input'!$G$3:$G$202)</f>
        <v>0</v>
      </c>
      <c r="G4" s="4">
        <f t="shared" si="0"/>
        <v>0</v>
      </c>
      <c r="H4" s="131">
        <v>0</v>
      </c>
      <c r="I4" s="131">
        <v>0</v>
      </c>
      <c r="J4" s="6">
        <f t="shared" si="2"/>
        <v>0</v>
      </c>
      <c r="K4" s="6">
        <f t="shared" si="1"/>
        <v>0</v>
      </c>
      <c r="L4" s="4">
        <f>SUMIF('Data input'!$D$3:$D$202,B4,$X$3:$X$202)</f>
        <v>0</v>
      </c>
      <c r="M4" s="4">
        <f>SUMIF('Data input'!$D$3:$D$202,B4,$AC$3:$AC$202)</f>
        <v>0</v>
      </c>
      <c r="N4" s="67">
        <f>SUMIF('Data input'!$D$3:$D$202,B4,$AD$3:$AD$202)</f>
        <v>0</v>
      </c>
      <c r="O4" s="30">
        <f>'Data input'!A4</f>
        <v>2</v>
      </c>
      <c r="P4" s="11">
        <f>'Data input'!G4*('Data input'!H4/1000)</f>
        <v>0</v>
      </c>
      <c r="Q4" s="11">
        <f>'Data input'!G4*('Data input'!H4/1000)*('Data input'!I4/1000)</f>
        <v>0</v>
      </c>
      <c r="R4" s="11">
        <f>'Data input'!G4*('Data input'!H4/1000)*('Data input'!I4/1000)*('Data input'!J4/1000)</f>
        <v>0</v>
      </c>
      <c r="S4" s="11" t="str">
        <f>IF(ISNA(VLOOKUP('Data input'!D4,$B$2:$C$200,2,FALSE)),"",VLOOKUP('Data input'!D4,$B$2:$C$200,2,FALSE))</f>
        <v/>
      </c>
      <c r="T4" s="11" t="str">
        <f>IF(S4="m3",Costs!R4,IF(S4="Each",'Data input'!G4,IF(S4="m",Costs!P4,IF(S4="m2",Costs!Q4,""))))</f>
        <v/>
      </c>
      <c r="U4" s="4" t="str">
        <f>IF(ISNA(VLOOKUP('Data input'!D4,$B$2:$J$200,9,FALSE)),"",VLOOKUP('Data input'!D4,$B$2:$J$200,9,FALSE))</f>
        <v/>
      </c>
      <c r="V4" s="4" t="e">
        <f t="shared" ref="V4:V67" si="5">T4*U4</f>
        <v>#VALUE!</v>
      </c>
      <c r="W4">
        <f>'Data input'!M4</f>
        <v>0</v>
      </c>
      <c r="X4" s="4">
        <f t="shared" si="3"/>
        <v>0</v>
      </c>
      <c r="Y4" s="4" t="e">
        <f t="shared" ref="Y4:Y67" si="6">V4</f>
        <v>#VALUE!</v>
      </c>
      <c r="Z4" s="4" t="str">
        <f>IF(ISNA(VLOOKUP('Data input'!D4,$B$2:$E$200,4,FALSE)),"",VLOOKUP('Data input'!D4,$B$2:$E$200,4,FALSE))</f>
        <v/>
      </c>
      <c r="AA4" s="4" t="e">
        <f t="shared" si="4"/>
        <v>#VALUE!</v>
      </c>
      <c r="AB4">
        <f>'Data input'!N4</f>
        <v>0</v>
      </c>
      <c r="AC4">
        <f t="shared" ref="AC4:AC67" si="7">SUMIF(AB4,"Yes",Y4)</f>
        <v>0</v>
      </c>
      <c r="AD4" s="4">
        <f t="shared" ref="AD4:AD67" si="8">SUMIF(AB4,"Yes",AA4)</f>
        <v>0</v>
      </c>
      <c r="AE4" s="6">
        <f t="shared" ref="AE4:AE67" si="9">AC4+AD4</f>
        <v>0</v>
      </c>
    </row>
    <row r="5" spans="1:42" x14ac:dyDescent="0.35">
      <c r="A5" s="70" t="str">
        <f>Lists!$A$35</f>
        <v>Other_Each</v>
      </c>
      <c r="B5" s="129" t="s">
        <v>345</v>
      </c>
      <c r="C5" s="22" t="s">
        <v>342</v>
      </c>
      <c r="E5" s="132">
        <v>0</v>
      </c>
      <c r="F5" s="14">
        <f>SUMIF('Data input'!D$3:D$202,B5,'Data input'!$G$3:$G$202)</f>
        <v>0</v>
      </c>
      <c r="G5" s="4">
        <f t="shared" si="0"/>
        <v>0</v>
      </c>
      <c r="H5" s="131">
        <v>0</v>
      </c>
      <c r="I5" s="131">
        <v>0</v>
      </c>
      <c r="J5" s="6">
        <f t="shared" si="2"/>
        <v>0</v>
      </c>
      <c r="K5" s="6">
        <f t="shared" si="1"/>
        <v>0</v>
      </c>
      <c r="L5" s="4">
        <f>SUMIF('Data input'!$D$3:$D$202,B5,$X$3:$X$202)</f>
        <v>0</v>
      </c>
      <c r="M5" s="4">
        <f>SUMIF('Data input'!$D$3:$D$202,B5,$AC$3:$AC$202)</f>
        <v>0</v>
      </c>
      <c r="N5" s="67">
        <f>SUMIF('Data input'!$D$3:$D$202,B5,$AD$3:$AD$202)</f>
        <v>0</v>
      </c>
      <c r="O5" s="30">
        <f>'Data input'!A5</f>
        <v>3</v>
      </c>
      <c r="P5" s="11">
        <f>'Data input'!G5*('Data input'!H5/1000)</f>
        <v>0</v>
      </c>
      <c r="Q5" s="11">
        <f>'Data input'!G5*('Data input'!H5/1000)*('Data input'!I5/1000)</f>
        <v>0</v>
      </c>
      <c r="R5" s="11">
        <f>'Data input'!G5*('Data input'!H5/1000)*('Data input'!I5/1000)*('Data input'!J5/1000)</f>
        <v>0</v>
      </c>
      <c r="S5" s="11" t="str">
        <f>IF(ISNA(VLOOKUP('Data input'!D5,$B$2:$C$200,2,FALSE)),"",VLOOKUP('Data input'!D5,$B$2:$C$200,2,FALSE))</f>
        <v/>
      </c>
      <c r="T5" s="11" t="str">
        <f>IF(S5="m3",Costs!R5,IF(S5="Each",'Data input'!G5,IF(S5="m",Costs!P5,IF(S5="m2",Costs!Q5,""))))</f>
        <v/>
      </c>
      <c r="U5" s="4" t="str">
        <f>IF(ISNA(VLOOKUP('Data input'!D5,$B$2:$J$200,9,FALSE)),"",VLOOKUP('Data input'!D5,$B$2:$J$200,9,FALSE))</f>
        <v/>
      </c>
      <c r="V5" s="4" t="e">
        <f t="shared" si="5"/>
        <v>#VALUE!</v>
      </c>
      <c r="W5">
        <f>'Data input'!M5</f>
        <v>0</v>
      </c>
      <c r="X5" s="4">
        <f t="shared" si="3"/>
        <v>0</v>
      </c>
      <c r="Y5" s="4" t="e">
        <f t="shared" si="6"/>
        <v>#VALUE!</v>
      </c>
      <c r="Z5" s="4" t="str">
        <f>IF(ISNA(VLOOKUP('Data input'!D5,$B$2:$E$200,4,FALSE)),"",VLOOKUP('Data input'!D5,$B$2:$E$200,4,FALSE))</f>
        <v/>
      </c>
      <c r="AA5" s="4" t="e">
        <f t="shared" si="4"/>
        <v>#VALUE!</v>
      </c>
      <c r="AB5">
        <f>'Data input'!N5</f>
        <v>0</v>
      </c>
      <c r="AC5">
        <f t="shared" si="7"/>
        <v>0</v>
      </c>
      <c r="AD5" s="4">
        <f t="shared" si="8"/>
        <v>0</v>
      </c>
      <c r="AE5" s="6">
        <f t="shared" si="9"/>
        <v>0</v>
      </c>
    </row>
    <row r="6" spans="1:42" x14ac:dyDescent="0.35">
      <c r="A6" s="70" t="str">
        <f>Lists!$A$35</f>
        <v>Other_Each</v>
      </c>
      <c r="B6" s="129" t="s">
        <v>346</v>
      </c>
      <c r="C6" s="22" t="s">
        <v>342</v>
      </c>
      <c r="E6" s="132">
        <v>0</v>
      </c>
      <c r="F6" s="14">
        <f>SUMIF('Data input'!D$3:D$202,B6,'Data input'!$G$3:$G$202)</f>
        <v>0</v>
      </c>
      <c r="G6" s="4">
        <f t="shared" si="0"/>
        <v>0</v>
      </c>
      <c r="H6" s="131">
        <v>0</v>
      </c>
      <c r="I6" s="131">
        <v>0</v>
      </c>
      <c r="J6" s="6">
        <f t="shared" si="2"/>
        <v>0</v>
      </c>
      <c r="K6" s="6">
        <f t="shared" si="1"/>
        <v>0</v>
      </c>
      <c r="L6" s="4">
        <f>SUMIF('Data input'!$D$3:$D$202,B6,$X$3:$X$202)</f>
        <v>0</v>
      </c>
      <c r="M6" s="4">
        <f>SUMIF('Data input'!$D$3:$D$202,B6,$AC$3:$AC$202)</f>
        <v>0</v>
      </c>
      <c r="N6" s="67">
        <f>SUMIF('Data input'!$D$3:$D$202,B6,$AD$3:$AD$202)</f>
        <v>0</v>
      </c>
      <c r="O6" s="30">
        <v>4</v>
      </c>
      <c r="P6" s="11">
        <f>'Data input'!G6*('Data input'!H6/1000)</f>
        <v>0</v>
      </c>
      <c r="Q6" s="11">
        <f>'Data input'!G6*('Data input'!H6/1000)*('Data input'!I6/1000)</f>
        <v>0</v>
      </c>
      <c r="R6" s="11">
        <f>'Data input'!G6*('Data input'!H6/1000)*('Data input'!I6/1000)*('Data input'!J6/1000)</f>
        <v>0</v>
      </c>
      <c r="S6" s="11" t="str">
        <f>IF(ISNA(VLOOKUP('Data input'!D6,$B$2:$C$200,2,FALSE)),"",VLOOKUP('Data input'!D6,$B$2:$C$200,2,FALSE))</f>
        <v/>
      </c>
      <c r="T6" s="11" t="str">
        <f>IF(S6="m3",Costs!R6,IF(S6="Each",'Data input'!G6,IF(S6="m",Costs!P6,IF(S6="m2",Costs!Q6,""))))</f>
        <v/>
      </c>
      <c r="U6" s="4" t="str">
        <f>IF(ISNA(VLOOKUP('Data input'!D6,$B$2:$J$200,9,FALSE)),"",VLOOKUP('Data input'!D6,$B$2:$J$200,9,FALSE))</f>
        <v/>
      </c>
      <c r="V6" s="4" t="e">
        <f t="shared" si="5"/>
        <v>#VALUE!</v>
      </c>
      <c r="W6">
        <f>'Data input'!M6</f>
        <v>0</v>
      </c>
      <c r="X6" s="4">
        <f t="shared" si="3"/>
        <v>0</v>
      </c>
      <c r="Y6" s="4" t="e">
        <f t="shared" si="6"/>
        <v>#VALUE!</v>
      </c>
      <c r="Z6" s="4" t="str">
        <f>IF(ISNA(VLOOKUP('Data input'!D6,$B$2:$E$200,4,FALSE)),"",VLOOKUP('Data input'!D6,$B$2:$E$200,4,FALSE))</f>
        <v/>
      </c>
      <c r="AA6" s="4" t="e">
        <f t="shared" si="4"/>
        <v>#VALUE!</v>
      </c>
      <c r="AB6">
        <f>'Data input'!N6</f>
        <v>0</v>
      </c>
      <c r="AC6">
        <f t="shared" si="7"/>
        <v>0</v>
      </c>
      <c r="AD6" s="4">
        <f t="shared" si="8"/>
        <v>0</v>
      </c>
      <c r="AE6" s="6">
        <f t="shared" si="9"/>
        <v>0</v>
      </c>
    </row>
    <row r="7" spans="1:42" x14ac:dyDescent="0.35">
      <c r="A7" s="70" t="str">
        <f>Lists!$A$35</f>
        <v>Other_Each</v>
      </c>
      <c r="B7" s="129" t="s">
        <v>347</v>
      </c>
      <c r="C7" s="22" t="s">
        <v>342</v>
      </c>
      <c r="E7" s="132">
        <v>0</v>
      </c>
      <c r="F7" s="14">
        <f>SUMIF('Data input'!D$3:D$202,B7,'Data input'!$G$3:$G$202)</f>
        <v>0</v>
      </c>
      <c r="G7" s="4">
        <f t="shared" si="0"/>
        <v>0</v>
      </c>
      <c r="H7" s="131">
        <v>0</v>
      </c>
      <c r="I7" s="131">
        <v>0</v>
      </c>
      <c r="J7" s="6">
        <f t="shared" si="2"/>
        <v>0</v>
      </c>
      <c r="K7" s="6">
        <f t="shared" si="1"/>
        <v>0</v>
      </c>
      <c r="L7" s="4">
        <f>SUMIF('Data input'!$D$3:$D$202,B7,$X$3:$X$202)</f>
        <v>0</v>
      </c>
      <c r="M7" s="4">
        <f>SUMIF('Data input'!$D$3:$D$202,B7,$AC$3:$AC$202)</f>
        <v>0</v>
      </c>
      <c r="N7" s="67">
        <f>SUMIF('Data input'!$D$3:$D$202,B7,$AD$3:$AD$202)</f>
        <v>0</v>
      </c>
      <c r="O7" s="30">
        <f>'Data input'!A7</f>
        <v>5</v>
      </c>
      <c r="P7" s="11">
        <f>'Data input'!G7*('Data input'!H7/1000)</f>
        <v>0</v>
      </c>
      <c r="Q7" s="11">
        <f>'Data input'!G7*('Data input'!H7/1000)*('Data input'!I7/1000)</f>
        <v>0</v>
      </c>
      <c r="R7" s="11">
        <f>'Data input'!G7*('Data input'!H7/1000)*('Data input'!I7/1000)*('Data input'!J7/1000)</f>
        <v>0</v>
      </c>
      <c r="S7" s="11" t="str">
        <f>IF(ISNA(VLOOKUP('Data input'!D7,$B$2:$C$200,2,FALSE)),"",VLOOKUP('Data input'!D7,$B$2:$C$200,2,FALSE))</f>
        <v/>
      </c>
      <c r="T7" s="11" t="str">
        <f>IF(S7="m3",Costs!R7,IF(S7="Each",'Data input'!G7,IF(S7="m",Costs!P7,IF(S7="m2",Costs!Q7,""))))</f>
        <v/>
      </c>
      <c r="U7" s="4" t="str">
        <f>IF(ISNA(VLOOKUP('Data input'!D7,$B$2:$J$200,9,FALSE)),"",VLOOKUP('Data input'!D7,$B$2:$J$200,9,FALSE))</f>
        <v/>
      </c>
      <c r="V7" s="4" t="e">
        <f t="shared" si="5"/>
        <v>#VALUE!</v>
      </c>
      <c r="W7">
        <f>'Data input'!M7</f>
        <v>0</v>
      </c>
      <c r="X7" s="4">
        <f t="shared" si="3"/>
        <v>0</v>
      </c>
      <c r="Y7" s="4" t="e">
        <f t="shared" si="6"/>
        <v>#VALUE!</v>
      </c>
      <c r="Z7" s="4" t="str">
        <f>IF(ISNA(VLOOKUP('Data input'!D7,$B$2:$E$200,4,FALSE)),"",VLOOKUP('Data input'!D7,$B$2:$E$200,4,FALSE))</f>
        <v/>
      </c>
      <c r="AA7" s="4" t="e">
        <f t="shared" si="4"/>
        <v>#VALUE!</v>
      </c>
      <c r="AB7">
        <f>'Data input'!N7</f>
        <v>0</v>
      </c>
      <c r="AC7">
        <f t="shared" si="7"/>
        <v>0</v>
      </c>
      <c r="AD7" s="4">
        <f t="shared" si="8"/>
        <v>0</v>
      </c>
      <c r="AE7" s="6">
        <f t="shared" si="9"/>
        <v>0</v>
      </c>
    </row>
    <row r="8" spans="1:42" x14ac:dyDescent="0.35">
      <c r="A8" s="70" t="str">
        <f>Lists!$A$35</f>
        <v>Other_Each</v>
      </c>
      <c r="B8" s="129" t="s">
        <v>348</v>
      </c>
      <c r="C8" s="22" t="s">
        <v>342</v>
      </c>
      <c r="E8" s="132">
        <v>0</v>
      </c>
      <c r="F8" s="14">
        <f>SUMIF('Data input'!D$3:D$202,B8,'Data input'!$G$3:$G$202)</f>
        <v>0</v>
      </c>
      <c r="G8" s="4">
        <f t="shared" si="0"/>
        <v>0</v>
      </c>
      <c r="H8" s="131">
        <v>0</v>
      </c>
      <c r="I8" s="131">
        <v>0</v>
      </c>
      <c r="J8" s="6">
        <f t="shared" si="2"/>
        <v>0</v>
      </c>
      <c r="K8" s="6">
        <f t="shared" si="1"/>
        <v>0</v>
      </c>
      <c r="L8" s="4">
        <f>SUMIF('Data input'!$D$3:$D$202,B8,$X$3:$X$202)</f>
        <v>0</v>
      </c>
      <c r="M8" s="4">
        <f>SUMIF('Data input'!$D$3:$D$202,B8,$AC$3:$AC$202)</f>
        <v>0</v>
      </c>
      <c r="N8" s="67">
        <f>SUMIF('Data input'!$D$3:$D$202,B8,$AD$3:$AD$202)</f>
        <v>0</v>
      </c>
      <c r="O8" s="30">
        <f>'Data input'!A8</f>
        <v>6</v>
      </c>
      <c r="P8" s="11">
        <f>'Data input'!G8*('Data input'!H8/1000)</f>
        <v>0</v>
      </c>
      <c r="Q8" s="11">
        <f>'Data input'!G8*('Data input'!H8/1000)*('Data input'!I8/1000)</f>
        <v>0</v>
      </c>
      <c r="R8" s="11">
        <f>'Data input'!G8*('Data input'!H8/1000)*('Data input'!I8/1000)*('Data input'!J8/1000)</f>
        <v>0</v>
      </c>
      <c r="S8" s="11" t="str">
        <f>IF(ISNA(VLOOKUP('Data input'!D8,$B$2:$C$200,2,FALSE)),"",VLOOKUP('Data input'!D8,$B$2:$C$200,2,FALSE))</f>
        <v/>
      </c>
      <c r="T8" s="11" t="str">
        <f>IF(S8="m3",Costs!R8,IF(S8="Each",'Data input'!G8,IF(S8="m",Costs!P8,IF(S8="m2",Costs!Q8,""))))</f>
        <v/>
      </c>
      <c r="U8" s="4" t="str">
        <f>IF(ISNA(VLOOKUP('Data input'!D8,$B$2:$J$200,9,FALSE)),"",VLOOKUP('Data input'!D8,$B$2:$J$200,9,FALSE))</f>
        <v/>
      </c>
      <c r="V8" s="4" t="e">
        <f t="shared" si="5"/>
        <v>#VALUE!</v>
      </c>
      <c r="W8">
        <f>'Data input'!M8</f>
        <v>0</v>
      </c>
      <c r="X8" s="4">
        <f t="shared" si="3"/>
        <v>0</v>
      </c>
      <c r="Y8" s="4" t="e">
        <f t="shared" si="6"/>
        <v>#VALUE!</v>
      </c>
      <c r="Z8" s="4" t="str">
        <f>IF(ISNA(VLOOKUP('Data input'!D8,$B$2:$E$200,4,FALSE)),"",VLOOKUP('Data input'!D8,$B$2:$E$200,4,FALSE))</f>
        <v/>
      </c>
      <c r="AA8" s="4" t="e">
        <f t="shared" si="4"/>
        <v>#VALUE!</v>
      </c>
      <c r="AB8">
        <f>'Data input'!N8</f>
        <v>0</v>
      </c>
      <c r="AC8">
        <f t="shared" si="7"/>
        <v>0</v>
      </c>
      <c r="AD8" s="4">
        <f t="shared" si="8"/>
        <v>0</v>
      </c>
      <c r="AE8" s="6">
        <f t="shared" si="9"/>
        <v>0</v>
      </c>
    </row>
    <row r="9" spans="1:42" x14ac:dyDescent="0.35">
      <c r="A9" s="70" t="str">
        <f>Lists!$A$35</f>
        <v>Other_Each</v>
      </c>
      <c r="B9" s="129" t="s">
        <v>349</v>
      </c>
      <c r="C9" s="22" t="s">
        <v>342</v>
      </c>
      <c r="E9" s="132">
        <v>0</v>
      </c>
      <c r="F9" s="14">
        <f>SUMIF('Data input'!D$3:D$202,B9,'Data input'!$G$3:$G$202)</f>
        <v>0</v>
      </c>
      <c r="G9" s="4">
        <f t="shared" si="0"/>
        <v>0</v>
      </c>
      <c r="H9" s="131">
        <v>0</v>
      </c>
      <c r="I9" s="131">
        <v>0</v>
      </c>
      <c r="J9" s="6">
        <f t="shared" si="2"/>
        <v>0</v>
      </c>
      <c r="K9" s="6">
        <f t="shared" si="1"/>
        <v>0</v>
      </c>
      <c r="L9" s="4">
        <f>SUMIF('Data input'!$D$3:$D$202,B9,$X$3:$X$202)</f>
        <v>0</v>
      </c>
      <c r="M9" s="4">
        <f>SUMIF('Data input'!$D$3:$D$202,B9,$AC$3:$AC$202)</f>
        <v>0</v>
      </c>
      <c r="N9" s="67">
        <f>SUMIF('Data input'!$D$3:$D$202,B9,$AD$3:$AD$202)</f>
        <v>0</v>
      </c>
      <c r="O9" s="30">
        <f>'Data input'!A9</f>
        <v>7</v>
      </c>
      <c r="P9" s="11">
        <f>'Data input'!G9*('Data input'!H9/1000)</f>
        <v>0</v>
      </c>
      <c r="Q9" s="11">
        <f>'Data input'!G9*('Data input'!H9/1000)*('Data input'!I9/1000)</f>
        <v>0</v>
      </c>
      <c r="R9" s="11">
        <f>'Data input'!G9*('Data input'!H9/1000)*('Data input'!I9/1000)*('Data input'!J9/1000)</f>
        <v>0</v>
      </c>
      <c r="S9" s="11" t="str">
        <f>IF(ISNA(VLOOKUP('Data input'!D9,$B$2:$C$200,2,FALSE)),"",VLOOKUP('Data input'!D9,$B$2:$C$200,2,FALSE))</f>
        <v/>
      </c>
      <c r="T9" s="11" t="str">
        <f>IF(S9="m3",Costs!R9,IF(S9="Each",'Data input'!G9,IF(S9="m",Costs!P9,IF(S9="m2",Costs!Q9,""))))</f>
        <v/>
      </c>
      <c r="U9" s="4" t="str">
        <f>IF(ISNA(VLOOKUP('Data input'!D9,$B$2:$J$200,9,FALSE)),"",VLOOKUP('Data input'!D9,$B$2:$J$200,9,FALSE))</f>
        <v/>
      </c>
      <c r="V9" s="4" t="e">
        <f t="shared" si="5"/>
        <v>#VALUE!</v>
      </c>
      <c r="W9">
        <f>'Data input'!M9</f>
        <v>0</v>
      </c>
      <c r="X9" s="4">
        <f t="shared" si="3"/>
        <v>0</v>
      </c>
      <c r="Y9" s="4" t="e">
        <f t="shared" si="6"/>
        <v>#VALUE!</v>
      </c>
      <c r="Z9" s="4" t="str">
        <f>IF(ISNA(VLOOKUP('Data input'!D9,$B$2:$E$200,4,FALSE)),"",VLOOKUP('Data input'!D9,$B$2:$E$200,4,FALSE))</f>
        <v/>
      </c>
      <c r="AA9" s="4" t="e">
        <f t="shared" si="4"/>
        <v>#VALUE!</v>
      </c>
      <c r="AB9">
        <f>'Data input'!N9</f>
        <v>0</v>
      </c>
      <c r="AC9">
        <f t="shared" si="7"/>
        <v>0</v>
      </c>
      <c r="AD9" s="4">
        <f t="shared" si="8"/>
        <v>0</v>
      </c>
      <c r="AE9" s="6">
        <f t="shared" si="9"/>
        <v>0</v>
      </c>
    </row>
    <row r="10" spans="1:42" x14ac:dyDescent="0.35">
      <c r="A10" s="70" t="str">
        <f>Lists!$A$35</f>
        <v>Other_Each</v>
      </c>
      <c r="B10" s="129" t="s">
        <v>350</v>
      </c>
      <c r="C10" s="22" t="s">
        <v>342</v>
      </c>
      <c r="E10" s="132">
        <v>0</v>
      </c>
      <c r="F10" s="14">
        <f>SUMIF('Data input'!D$3:D$202,B10,'Data input'!$G$3:$G$202)</f>
        <v>0</v>
      </c>
      <c r="G10" s="4">
        <f t="shared" si="0"/>
        <v>0</v>
      </c>
      <c r="H10" s="131">
        <v>0</v>
      </c>
      <c r="I10" s="131">
        <v>0</v>
      </c>
      <c r="J10" s="6">
        <f t="shared" si="2"/>
        <v>0</v>
      </c>
      <c r="K10" s="6">
        <f t="shared" si="1"/>
        <v>0</v>
      </c>
      <c r="L10" s="4">
        <f>SUMIF('Data input'!$D$3:$D$202,B10,$X$3:$X$202)</f>
        <v>0</v>
      </c>
      <c r="M10" s="4">
        <f>SUMIF('Data input'!$D$3:$D$202,B10,$AC$3:$AC$202)</f>
        <v>0</v>
      </c>
      <c r="N10" s="67">
        <f>SUMIF('Data input'!$D$3:$D$202,B10,$AD$3:$AD$202)</f>
        <v>0</v>
      </c>
      <c r="O10" s="30">
        <f>'Data input'!A10</f>
        <v>8</v>
      </c>
      <c r="P10" s="11">
        <f>'Data input'!G10*('Data input'!H10/1000)</f>
        <v>0</v>
      </c>
      <c r="Q10" s="11">
        <f>'Data input'!G10*('Data input'!H10/1000)*('Data input'!I10/1000)</f>
        <v>0</v>
      </c>
      <c r="R10" s="11">
        <f>'Data input'!G10*('Data input'!H10/1000)*('Data input'!I10/1000)*('Data input'!J10/1000)</f>
        <v>0</v>
      </c>
      <c r="S10" s="11" t="str">
        <f>IF(ISNA(VLOOKUP('Data input'!D10,$B$2:$C$200,2,FALSE)),"",VLOOKUP('Data input'!D10,$B$2:$C$200,2,FALSE))</f>
        <v/>
      </c>
      <c r="T10" s="11" t="str">
        <f>IF(S10="m3",Costs!R10,IF(S10="Each",'Data input'!G10,IF(S10="m",Costs!P10,IF(S10="m2",Costs!Q10,""))))</f>
        <v/>
      </c>
      <c r="U10" s="4" t="str">
        <f>IF(ISNA(VLOOKUP('Data input'!D10,$B$2:$J$200,9,FALSE)),"",VLOOKUP('Data input'!D10,$B$2:$J$200,9,FALSE))</f>
        <v/>
      </c>
      <c r="V10" s="4" t="e">
        <f t="shared" si="5"/>
        <v>#VALUE!</v>
      </c>
      <c r="W10">
        <f>'Data input'!M10</f>
        <v>0</v>
      </c>
      <c r="X10" s="4">
        <f t="shared" si="3"/>
        <v>0</v>
      </c>
      <c r="Y10" s="4" t="e">
        <f t="shared" si="6"/>
        <v>#VALUE!</v>
      </c>
      <c r="Z10" s="4" t="str">
        <f>IF(ISNA(VLOOKUP('Data input'!D10,$B$2:$E$200,4,FALSE)),"",VLOOKUP('Data input'!D10,$B$2:$E$200,4,FALSE))</f>
        <v/>
      </c>
      <c r="AA10" s="4" t="e">
        <f t="shared" si="4"/>
        <v>#VALUE!</v>
      </c>
      <c r="AB10">
        <f>'Data input'!N10</f>
        <v>0</v>
      </c>
      <c r="AC10">
        <f t="shared" si="7"/>
        <v>0</v>
      </c>
      <c r="AD10" s="4">
        <f t="shared" si="8"/>
        <v>0</v>
      </c>
      <c r="AE10" s="6">
        <f t="shared" si="9"/>
        <v>0</v>
      </c>
    </row>
    <row r="11" spans="1:42" x14ac:dyDescent="0.35">
      <c r="A11" s="95" t="str">
        <f>Lists!$A$36</f>
        <v>Other_Linear_meter</v>
      </c>
      <c r="B11" s="129" t="s">
        <v>351</v>
      </c>
      <c r="C11" s="22" t="s">
        <v>352</v>
      </c>
      <c r="D11" s="5"/>
      <c r="E11" s="131">
        <v>0</v>
      </c>
      <c r="F11" s="14">
        <f>SUMIF('Data input'!D$3:D$202,B11,$P$3:$P$202)</f>
        <v>0</v>
      </c>
      <c r="G11" s="4">
        <f>E11*F11</f>
        <v>0</v>
      </c>
      <c r="H11" s="131">
        <v>0</v>
      </c>
      <c r="I11" s="131">
        <v>0</v>
      </c>
      <c r="J11" s="6">
        <f>H11+I11</f>
        <v>0</v>
      </c>
      <c r="K11" s="6">
        <f>F11*J11</f>
        <v>0</v>
      </c>
      <c r="L11" s="4">
        <f>SUMIF('Data input'!$D$3:$D$202,B11,$X$3:$X$202)</f>
        <v>0</v>
      </c>
      <c r="M11" s="4">
        <f>SUMIF('Data input'!$D$3:$D$202,B11,$AC$3:$AC$202)</f>
        <v>0</v>
      </c>
      <c r="N11" s="67">
        <f>SUMIF('Data input'!$D$3:$D$202,B11,$AD$3:$AD$202)</f>
        <v>0</v>
      </c>
      <c r="O11" s="30">
        <f>'Data input'!A11</f>
        <v>9</v>
      </c>
      <c r="P11" s="11">
        <f>'Data input'!G11*('Data input'!H11/1000)</f>
        <v>0</v>
      </c>
      <c r="Q11" s="11">
        <f>'Data input'!G11*('Data input'!H11/1000)*('Data input'!I11/1000)</f>
        <v>0</v>
      </c>
      <c r="R11" s="11">
        <f>'Data input'!G11*('Data input'!H11/1000)*('Data input'!I11/1000)*('Data input'!J11/1000)</f>
        <v>0</v>
      </c>
      <c r="S11" s="11" t="str">
        <f>IF(ISNA(VLOOKUP('Data input'!D11,$B$2:$C$200,2,FALSE)),"",VLOOKUP('Data input'!D11,$B$2:$C$200,2,FALSE))</f>
        <v/>
      </c>
      <c r="T11" s="11" t="str">
        <f>IF(S11="m3",Costs!R11,IF(S11="Each",'Data input'!G11,IF(S11="m",Costs!P11,IF(S11="m2",Costs!Q11,""))))</f>
        <v/>
      </c>
      <c r="U11" s="4" t="str">
        <f>IF(ISNA(VLOOKUP('Data input'!D11,$B$2:$J$200,9,FALSE)),"",VLOOKUP('Data input'!D11,$B$2:$J$200,9,FALSE))</f>
        <v/>
      </c>
      <c r="V11" s="4" t="e">
        <f t="shared" si="5"/>
        <v>#VALUE!</v>
      </c>
      <c r="W11">
        <f>'Data input'!M11</f>
        <v>0</v>
      </c>
      <c r="X11" s="4">
        <f t="shared" si="3"/>
        <v>0</v>
      </c>
      <c r="Y11" s="4" t="e">
        <f t="shared" si="6"/>
        <v>#VALUE!</v>
      </c>
      <c r="Z11" s="4" t="str">
        <f>IF(ISNA(VLOOKUP('Data input'!D11,$B$2:$E$200,4,FALSE)),"",VLOOKUP('Data input'!D11,$B$2:$E$200,4,FALSE))</f>
        <v/>
      </c>
      <c r="AA11" s="4" t="e">
        <f t="shared" si="4"/>
        <v>#VALUE!</v>
      </c>
      <c r="AB11">
        <f>'Data input'!N11</f>
        <v>0</v>
      </c>
      <c r="AC11">
        <f t="shared" si="7"/>
        <v>0</v>
      </c>
      <c r="AD11" s="4">
        <f t="shared" si="8"/>
        <v>0</v>
      </c>
      <c r="AE11" s="6">
        <f t="shared" si="9"/>
        <v>0</v>
      </c>
    </row>
    <row r="12" spans="1:42" x14ac:dyDescent="0.35">
      <c r="A12" s="95" t="str">
        <f>Lists!$A$36</f>
        <v>Other_Linear_meter</v>
      </c>
      <c r="B12" s="129" t="s">
        <v>353</v>
      </c>
      <c r="C12" s="22" t="s">
        <v>352</v>
      </c>
      <c r="E12" s="132">
        <v>0</v>
      </c>
      <c r="F12" s="14">
        <f>SUMIF('Data input'!D$3:D$202,B12,$P$3:$P$202)</f>
        <v>0</v>
      </c>
      <c r="G12" s="4">
        <f t="shared" ref="G12:G19" si="10">E12*F12</f>
        <v>0</v>
      </c>
      <c r="H12" s="131">
        <v>0</v>
      </c>
      <c r="I12" s="131">
        <v>0</v>
      </c>
      <c r="J12" s="6">
        <f t="shared" ref="J12:J19" si="11">H12+I12</f>
        <v>0</v>
      </c>
      <c r="K12" s="6">
        <f t="shared" ref="K12:K19" si="12">F12*J12</f>
        <v>0</v>
      </c>
      <c r="L12" s="4">
        <f>SUMIF('Data input'!$D$3:$D$202,B12,$X$3:$X$202)</f>
        <v>0</v>
      </c>
      <c r="M12" s="4">
        <f>SUMIF('Data input'!$D$3:$D$202,B12,$AC$3:$AC$202)</f>
        <v>0</v>
      </c>
      <c r="N12" s="67">
        <f>SUMIF('Data input'!$D$3:$D$202,B12,$AD$3:$AD$202)</f>
        <v>0</v>
      </c>
      <c r="O12" s="30">
        <f>'Data input'!A12</f>
        <v>10</v>
      </c>
      <c r="P12" s="11">
        <f>'Data input'!G12*('Data input'!H12/1000)</f>
        <v>0</v>
      </c>
      <c r="Q12" s="11">
        <f>'Data input'!G12*('Data input'!H12/1000)*('Data input'!I12/1000)</f>
        <v>0</v>
      </c>
      <c r="R12" s="11">
        <f>'Data input'!G12*('Data input'!H12/1000)*('Data input'!I12/1000)*('Data input'!J12/1000)</f>
        <v>0</v>
      </c>
      <c r="S12" s="11" t="str">
        <f>IF(ISNA(VLOOKUP('Data input'!D12,$B$2:$C$200,2,FALSE)),"",VLOOKUP('Data input'!D12,$B$2:$C$200,2,FALSE))</f>
        <v/>
      </c>
      <c r="T12" s="11" t="str">
        <f>IF(S12="m3",Costs!R12,IF(S12="Each",'Data input'!G12,IF(S12="m",Costs!P12,IF(S12="m2",Costs!Q12,""))))</f>
        <v/>
      </c>
      <c r="U12" s="4" t="str">
        <f>IF(ISNA(VLOOKUP('Data input'!D12,$B$2:$J$200,9,FALSE)),"",VLOOKUP('Data input'!D12,$B$2:$J$200,9,FALSE))</f>
        <v/>
      </c>
      <c r="V12" s="4" t="e">
        <f t="shared" si="5"/>
        <v>#VALUE!</v>
      </c>
      <c r="W12">
        <f>'Data input'!M12</f>
        <v>0</v>
      </c>
      <c r="X12" s="4">
        <f t="shared" si="3"/>
        <v>0</v>
      </c>
      <c r="Y12" s="4" t="e">
        <f t="shared" si="6"/>
        <v>#VALUE!</v>
      </c>
      <c r="Z12" s="4" t="str">
        <f>IF(ISNA(VLOOKUP('Data input'!D12,$B$2:$E$200,4,FALSE)),"",VLOOKUP('Data input'!D12,$B$2:$E$200,4,FALSE))</f>
        <v/>
      </c>
      <c r="AA12" s="4" t="e">
        <f t="shared" si="4"/>
        <v>#VALUE!</v>
      </c>
      <c r="AB12">
        <f>'Data input'!N12</f>
        <v>0</v>
      </c>
      <c r="AC12">
        <f t="shared" si="7"/>
        <v>0</v>
      </c>
      <c r="AD12" s="4">
        <f t="shared" si="8"/>
        <v>0</v>
      </c>
      <c r="AE12" s="6">
        <f t="shared" si="9"/>
        <v>0</v>
      </c>
    </row>
    <row r="13" spans="1:42" x14ac:dyDescent="0.35">
      <c r="A13" s="95" t="str">
        <f>Lists!$A$36</f>
        <v>Other_Linear_meter</v>
      </c>
      <c r="B13" s="129" t="s">
        <v>354</v>
      </c>
      <c r="C13" s="22" t="s">
        <v>352</v>
      </c>
      <c r="E13" s="132">
        <v>0</v>
      </c>
      <c r="F13" s="14">
        <f>SUMIF('Data input'!D$3:D$202,B13,$P$3:$P$202)</f>
        <v>0</v>
      </c>
      <c r="G13" s="4">
        <f t="shared" si="10"/>
        <v>0</v>
      </c>
      <c r="H13" s="131">
        <v>0</v>
      </c>
      <c r="I13" s="131">
        <v>0</v>
      </c>
      <c r="J13" s="6">
        <f t="shared" si="11"/>
        <v>0</v>
      </c>
      <c r="K13" s="6">
        <f t="shared" si="12"/>
        <v>0</v>
      </c>
      <c r="L13" s="4">
        <f>SUMIF('Data input'!$D$3:$D$202,B13,$X$3:$X$202)</f>
        <v>0</v>
      </c>
      <c r="M13" s="4">
        <f>SUMIF('Data input'!$D$3:$D$202,B13,$AC$3:$AC$202)</f>
        <v>0</v>
      </c>
      <c r="N13" s="67">
        <f>SUMIF('Data input'!$D$3:$D$202,B13,$AD$3:$AD$202)</f>
        <v>0</v>
      </c>
      <c r="O13" s="30">
        <f>'Data input'!A13</f>
        <v>11</v>
      </c>
      <c r="P13" s="11">
        <f>'Data input'!G13*('Data input'!H13/1000)</f>
        <v>0</v>
      </c>
      <c r="Q13" s="11">
        <f>'Data input'!G13*('Data input'!H13/1000)*('Data input'!I13/1000)</f>
        <v>0</v>
      </c>
      <c r="R13" s="11">
        <f>'Data input'!G13*('Data input'!H13/1000)*('Data input'!I13/1000)*('Data input'!J13/1000)</f>
        <v>0</v>
      </c>
      <c r="S13" s="11" t="str">
        <f>IF(ISNA(VLOOKUP('Data input'!D13,$B$2:$C$200,2,FALSE)),"",VLOOKUP('Data input'!D13,$B$2:$C$200,2,FALSE))</f>
        <v/>
      </c>
      <c r="T13" s="11" t="str">
        <f>IF(S13="m3",Costs!R13,IF(S13="Each",'Data input'!G13,IF(S13="m",Costs!P13,IF(S13="m2",Costs!Q13,""))))</f>
        <v/>
      </c>
      <c r="U13" s="4" t="str">
        <f>IF(ISNA(VLOOKUP('Data input'!D13,$B$2:$J$200,9,FALSE)),"",VLOOKUP('Data input'!D13,$B$2:$J$200,9,FALSE))</f>
        <v/>
      </c>
      <c r="V13" s="4" t="e">
        <f t="shared" si="5"/>
        <v>#VALUE!</v>
      </c>
      <c r="W13">
        <f>'Data input'!M13</f>
        <v>0</v>
      </c>
      <c r="X13" s="4">
        <f t="shared" si="3"/>
        <v>0</v>
      </c>
      <c r="Y13" s="4" t="e">
        <f t="shared" si="6"/>
        <v>#VALUE!</v>
      </c>
      <c r="Z13" s="4" t="str">
        <f>IF(ISNA(VLOOKUP('Data input'!D13,$B$2:$E$200,4,FALSE)),"",VLOOKUP('Data input'!D13,$B$2:$E$200,4,FALSE))</f>
        <v/>
      </c>
      <c r="AA13" s="4" t="e">
        <f t="shared" si="4"/>
        <v>#VALUE!</v>
      </c>
      <c r="AB13">
        <f>'Data input'!N13</f>
        <v>0</v>
      </c>
      <c r="AC13">
        <f t="shared" si="7"/>
        <v>0</v>
      </c>
      <c r="AD13" s="4">
        <f t="shared" si="8"/>
        <v>0</v>
      </c>
      <c r="AE13" s="6">
        <f t="shared" si="9"/>
        <v>0</v>
      </c>
    </row>
    <row r="14" spans="1:42" x14ac:dyDescent="0.35">
      <c r="A14" s="95" t="str">
        <f>Lists!$A$36</f>
        <v>Other_Linear_meter</v>
      </c>
      <c r="B14" s="129" t="s">
        <v>355</v>
      </c>
      <c r="C14" s="22" t="s">
        <v>352</v>
      </c>
      <c r="E14" s="132">
        <v>0</v>
      </c>
      <c r="F14" s="14">
        <f>SUMIF('Data input'!D$3:D$202,B14,$P$3:$P$202)</f>
        <v>0</v>
      </c>
      <c r="G14" s="4">
        <f t="shared" si="10"/>
        <v>0</v>
      </c>
      <c r="H14" s="131">
        <v>0</v>
      </c>
      <c r="I14" s="131">
        <v>0</v>
      </c>
      <c r="J14" s="6">
        <f t="shared" si="11"/>
        <v>0</v>
      </c>
      <c r="K14" s="6">
        <f t="shared" si="12"/>
        <v>0</v>
      </c>
      <c r="L14" s="4">
        <f>SUMIF('Data input'!$D$3:$D$202,B14,$X$3:$X$202)</f>
        <v>0</v>
      </c>
      <c r="M14" s="4">
        <f>SUMIF('Data input'!$D$3:$D$202,B14,$AC$3:$AC$202)</f>
        <v>0</v>
      </c>
      <c r="N14" s="67">
        <f>SUMIF('Data input'!$D$3:$D$202,B14,$AD$3:$AD$202)</f>
        <v>0</v>
      </c>
      <c r="O14" s="30">
        <f>'Data input'!A14</f>
        <v>12</v>
      </c>
      <c r="P14" s="11">
        <f>'Data input'!G14*('Data input'!H14/1000)</f>
        <v>0</v>
      </c>
      <c r="Q14" s="11">
        <f>'Data input'!G14*('Data input'!H14/1000)*('Data input'!I14/1000)</f>
        <v>0</v>
      </c>
      <c r="R14" s="11">
        <f>'Data input'!G14*('Data input'!H14/1000)*('Data input'!I14/1000)*('Data input'!J14/1000)</f>
        <v>0</v>
      </c>
      <c r="S14" s="11" t="str">
        <f>IF(ISNA(VLOOKUP('Data input'!D14,$B$2:$C$200,2,FALSE)),"",VLOOKUP('Data input'!D14,$B$2:$C$200,2,FALSE))</f>
        <v/>
      </c>
      <c r="T14" s="11" t="str">
        <f>IF(S14="m3",Costs!R14,IF(S14="Each",'Data input'!G14,IF(S14="m",Costs!P14,IF(S14="m2",Costs!Q14,""))))</f>
        <v/>
      </c>
      <c r="U14" s="4" t="str">
        <f>IF(ISNA(VLOOKUP('Data input'!D14,$B$2:$J$200,9,FALSE)),"",VLOOKUP('Data input'!D14,$B$2:$J$200,9,FALSE))</f>
        <v/>
      </c>
      <c r="V14" s="4" t="e">
        <f t="shared" si="5"/>
        <v>#VALUE!</v>
      </c>
      <c r="W14">
        <f>'Data input'!M14</f>
        <v>0</v>
      </c>
      <c r="X14" s="4">
        <f t="shared" si="3"/>
        <v>0</v>
      </c>
      <c r="Y14" s="4" t="e">
        <f t="shared" si="6"/>
        <v>#VALUE!</v>
      </c>
      <c r="Z14" s="4" t="str">
        <f>IF(ISNA(VLOOKUP('Data input'!D14,$B$2:$E$200,4,FALSE)),"",VLOOKUP('Data input'!D14,$B$2:$E$200,4,FALSE))</f>
        <v/>
      </c>
      <c r="AA14" s="4" t="e">
        <f t="shared" si="4"/>
        <v>#VALUE!</v>
      </c>
      <c r="AB14">
        <f>'Data input'!N14</f>
        <v>0</v>
      </c>
      <c r="AC14">
        <f t="shared" si="7"/>
        <v>0</v>
      </c>
      <c r="AD14" s="4">
        <f t="shared" si="8"/>
        <v>0</v>
      </c>
      <c r="AE14" s="6">
        <f t="shared" si="9"/>
        <v>0</v>
      </c>
    </row>
    <row r="15" spans="1:42" x14ac:dyDescent="0.35">
      <c r="A15" s="95" t="str">
        <f>Lists!$A$36</f>
        <v>Other_Linear_meter</v>
      </c>
      <c r="B15" s="129" t="s">
        <v>356</v>
      </c>
      <c r="C15" s="22" t="s">
        <v>352</v>
      </c>
      <c r="E15" s="132">
        <v>0</v>
      </c>
      <c r="F15" s="14">
        <f>SUMIF('Data input'!D$3:D$202,B15,$P$3:$P$202)</f>
        <v>0</v>
      </c>
      <c r="G15" s="4">
        <f t="shared" si="10"/>
        <v>0</v>
      </c>
      <c r="H15" s="131">
        <v>0</v>
      </c>
      <c r="I15" s="131">
        <v>0</v>
      </c>
      <c r="J15" s="6">
        <f t="shared" si="11"/>
        <v>0</v>
      </c>
      <c r="K15" s="6">
        <f t="shared" si="12"/>
        <v>0</v>
      </c>
      <c r="L15" s="4">
        <f>SUMIF('Data input'!$D$3:$D$202,B15,$X$3:$X$202)</f>
        <v>0</v>
      </c>
      <c r="M15" s="4">
        <f>SUMIF('Data input'!$D$3:$D$202,B15,$AC$3:$AC$202)</f>
        <v>0</v>
      </c>
      <c r="N15" s="67">
        <f>SUMIF('Data input'!$D$3:$D$202,B15,$AD$3:$AD$202)</f>
        <v>0</v>
      </c>
      <c r="O15" s="30">
        <f>'Data input'!A15</f>
        <v>13</v>
      </c>
      <c r="P15" s="11">
        <f>'Data input'!G15*('Data input'!H15/1000)</f>
        <v>0</v>
      </c>
      <c r="Q15" s="11">
        <f>'Data input'!G15*('Data input'!H15/1000)*('Data input'!I15/1000)</f>
        <v>0</v>
      </c>
      <c r="R15" s="11">
        <f>'Data input'!G15*('Data input'!H15/1000)*('Data input'!I15/1000)*('Data input'!J15/1000)</f>
        <v>0</v>
      </c>
      <c r="S15" s="11" t="str">
        <f>IF(ISNA(VLOOKUP('Data input'!D15,$B$2:$C$200,2,FALSE)),"",VLOOKUP('Data input'!D15,$B$2:$C$200,2,FALSE))</f>
        <v/>
      </c>
      <c r="T15" s="11" t="str">
        <f>IF(S15="m3",Costs!R15,IF(S15="Each",'Data input'!G15,IF(S15="m",Costs!P15,IF(S15="m2",Costs!Q15,""))))</f>
        <v/>
      </c>
      <c r="U15" s="4" t="str">
        <f>IF(ISNA(VLOOKUP('Data input'!D15,$B$2:$J$200,9,FALSE)),"",VLOOKUP('Data input'!D15,$B$2:$J$200,9,FALSE))</f>
        <v/>
      </c>
      <c r="V15" s="4" t="e">
        <f t="shared" si="5"/>
        <v>#VALUE!</v>
      </c>
      <c r="W15">
        <f>'Data input'!M15</f>
        <v>0</v>
      </c>
      <c r="X15" s="4">
        <f t="shared" si="3"/>
        <v>0</v>
      </c>
      <c r="Y15" s="4" t="e">
        <f t="shared" si="6"/>
        <v>#VALUE!</v>
      </c>
      <c r="Z15" s="4" t="str">
        <f>IF(ISNA(VLOOKUP('Data input'!D15,$B$2:$E$200,4,FALSE)),"",VLOOKUP('Data input'!D15,$B$2:$E$200,4,FALSE))</f>
        <v/>
      </c>
      <c r="AA15" s="4" t="e">
        <f t="shared" si="4"/>
        <v>#VALUE!</v>
      </c>
      <c r="AB15">
        <f>'Data input'!N15</f>
        <v>0</v>
      </c>
      <c r="AC15">
        <f t="shared" si="7"/>
        <v>0</v>
      </c>
      <c r="AD15" s="4">
        <f t="shared" si="8"/>
        <v>0</v>
      </c>
      <c r="AE15" s="6">
        <f t="shared" si="9"/>
        <v>0</v>
      </c>
    </row>
    <row r="16" spans="1:42" x14ac:dyDescent="0.35">
      <c r="A16" s="95" t="str">
        <f>Lists!$A$36</f>
        <v>Other_Linear_meter</v>
      </c>
      <c r="B16" s="129" t="s">
        <v>357</v>
      </c>
      <c r="C16" s="22" t="s">
        <v>352</v>
      </c>
      <c r="E16" s="132">
        <v>0</v>
      </c>
      <c r="F16" s="14">
        <f>SUMIF('Data input'!D$3:D$202,B16,$P$3:$P$202)</f>
        <v>0</v>
      </c>
      <c r="G16" s="4">
        <f t="shared" si="10"/>
        <v>0</v>
      </c>
      <c r="H16" s="131">
        <v>0</v>
      </c>
      <c r="I16" s="131">
        <v>0</v>
      </c>
      <c r="J16" s="6">
        <f t="shared" si="11"/>
        <v>0</v>
      </c>
      <c r="K16" s="6">
        <f t="shared" si="12"/>
        <v>0</v>
      </c>
      <c r="L16" s="4">
        <f>SUMIF('Data input'!$D$3:$D$202,B16,$X$3:$X$202)</f>
        <v>0</v>
      </c>
      <c r="M16" s="4">
        <f>SUMIF('Data input'!$D$3:$D$202,B16,$AC$3:$AC$202)</f>
        <v>0</v>
      </c>
      <c r="N16" s="67">
        <f>SUMIF('Data input'!$D$3:$D$202,B16,$AD$3:$AD$202)</f>
        <v>0</v>
      </c>
      <c r="O16" s="30">
        <f>'Data input'!A16</f>
        <v>14</v>
      </c>
      <c r="P16" s="11">
        <f>'Data input'!G16*('Data input'!H16/1000)</f>
        <v>0</v>
      </c>
      <c r="Q16" s="11">
        <f>'Data input'!G16*('Data input'!H16/1000)*('Data input'!I16/1000)</f>
        <v>0</v>
      </c>
      <c r="R16" s="11">
        <f>'Data input'!G16*('Data input'!H16/1000)*('Data input'!I16/1000)*('Data input'!J16/1000)</f>
        <v>0</v>
      </c>
      <c r="S16" s="11" t="str">
        <f>IF(ISNA(VLOOKUP('Data input'!D16,$B$2:$C$200,2,FALSE)),"",VLOOKUP('Data input'!D16,$B$2:$C$200,2,FALSE))</f>
        <v/>
      </c>
      <c r="T16" s="11" t="str">
        <f>IF(S16="m3",Costs!R16,IF(S16="Each",'Data input'!G16,IF(S16="m",Costs!P16,IF(S16="m2",Costs!Q16,""))))</f>
        <v/>
      </c>
      <c r="U16" s="4" t="str">
        <f>IF(ISNA(VLOOKUP('Data input'!D16,$B$2:$J$200,9,FALSE)),"",VLOOKUP('Data input'!D16,$B$2:$J$200,9,FALSE))</f>
        <v/>
      </c>
      <c r="V16" s="4" t="e">
        <f t="shared" si="5"/>
        <v>#VALUE!</v>
      </c>
      <c r="W16">
        <f>'Data input'!M16</f>
        <v>0</v>
      </c>
      <c r="X16" s="4">
        <f t="shared" si="3"/>
        <v>0</v>
      </c>
      <c r="Y16" s="4" t="e">
        <f t="shared" si="6"/>
        <v>#VALUE!</v>
      </c>
      <c r="Z16" s="4" t="str">
        <f>IF(ISNA(VLOOKUP('Data input'!D16,$B$2:$E$200,4,FALSE)),"",VLOOKUP('Data input'!D16,$B$2:$E$200,4,FALSE))</f>
        <v/>
      </c>
      <c r="AA16" s="4" t="e">
        <f t="shared" si="4"/>
        <v>#VALUE!</v>
      </c>
      <c r="AB16">
        <f>'Data input'!N16</f>
        <v>0</v>
      </c>
      <c r="AC16">
        <f t="shared" si="7"/>
        <v>0</v>
      </c>
      <c r="AD16" s="4">
        <f t="shared" si="8"/>
        <v>0</v>
      </c>
      <c r="AE16" s="6">
        <f t="shared" si="9"/>
        <v>0</v>
      </c>
    </row>
    <row r="17" spans="1:31" x14ac:dyDescent="0.35">
      <c r="A17" s="95" t="str">
        <f>Lists!$A$36</f>
        <v>Other_Linear_meter</v>
      </c>
      <c r="B17" s="129" t="s">
        <v>358</v>
      </c>
      <c r="C17" s="22" t="s">
        <v>352</v>
      </c>
      <c r="E17" s="132">
        <v>0</v>
      </c>
      <c r="F17" s="14">
        <f>SUMIF('Data input'!D$3:D$202,B17,$P$3:$P$202)</f>
        <v>0</v>
      </c>
      <c r="G17" s="4">
        <f t="shared" si="10"/>
        <v>0</v>
      </c>
      <c r="H17" s="131">
        <v>0</v>
      </c>
      <c r="I17" s="131">
        <v>0</v>
      </c>
      <c r="J17" s="6">
        <f t="shared" si="11"/>
        <v>0</v>
      </c>
      <c r="K17" s="6">
        <f t="shared" si="12"/>
        <v>0</v>
      </c>
      <c r="L17" s="4">
        <f>SUMIF('Data input'!$D$3:$D$202,B17,$X$3:$X$202)</f>
        <v>0</v>
      </c>
      <c r="M17" s="4">
        <f>SUMIF('Data input'!$D$3:$D$202,B17,$AC$3:$AC$202)</f>
        <v>0</v>
      </c>
      <c r="N17" s="67">
        <f>SUMIF('Data input'!$D$3:$D$202,B17,$AD$3:$AD$202)</f>
        <v>0</v>
      </c>
      <c r="O17" s="30">
        <f>'Data input'!A17</f>
        <v>15</v>
      </c>
      <c r="P17" s="11">
        <f>'Data input'!G17*('Data input'!H17/1000)</f>
        <v>0</v>
      </c>
      <c r="Q17" s="11">
        <f>'Data input'!G17*('Data input'!H17/1000)*('Data input'!I17/1000)</f>
        <v>0</v>
      </c>
      <c r="R17" s="11">
        <f>'Data input'!G17*('Data input'!H17/1000)*('Data input'!I17/1000)*('Data input'!J17/1000)</f>
        <v>0</v>
      </c>
      <c r="S17" s="11" t="str">
        <f>IF(ISNA(VLOOKUP('Data input'!D17,$B$2:$C$200,2,FALSE)),"",VLOOKUP('Data input'!D17,$B$2:$C$200,2,FALSE))</f>
        <v/>
      </c>
      <c r="T17" s="11" t="str">
        <f>IF(S17="m3",Costs!R17,IF(S17="Each",'Data input'!G17,IF(S17="m",Costs!P17,IF(S17="m2",Costs!Q17,""))))</f>
        <v/>
      </c>
      <c r="U17" s="4" t="str">
        <f>IF(ISNA(VLOOKUP('Data input'!D17,$B$2:$J$200,9,FALSE)),"",VLOOKUP('Data input'!D17,$B$2:$J$200,9,FALSE))</f>
        <v/>
      </c>
      <c r="V17" s="4" t="e">
        <f t="shared" si="5"/>
        <v>#VALUE!</v>
      </c>
      <c r="W17">
        <f>'Data input'!M17</f>
        <v>0</v>
      </c>
      <c r="X17" s="4">
        <f t="shared" si="3"/>
        <v>0</v>
      </c>
      <c r="Y17" s="4" t="e">
        <f t="shared" si="6"/>
        <v>#VALUE!</v>
      </c>
      <c r="Z17" s="4" t="str">
        <f>IF(ISNA(VLOOKUP('Data input'!D17,$B$2:$E$200,4,FALSE)),"",VLOOKUP('Data input'!D17,$B$2:$E$200,4,FALSE))</f>
        <v/>
      </c>
      <c r="AA17" s="4" t="e">
        <f t="shared" si="4"/>
        <v>#VALUE!</v>
      </c>
      <c r="AB17">
        <f>'Data input'!N17</f>
        <v>0</v>
      </c>
      <c r="AC17">
        <f t="shared" si="7"/>
        <v>0</v>
      </c>
      <c r="AD17" s="4">
        <f t="shared" si="8"/>
        <v>0</v>
      </c>
      <c r="AE17" s="6">
        <f t="shared" si="9"/>
        <v>0</v>
      </c>
    </row>
    <row r="18" spans="1:31" x14ac:dyDescent="0.35">
      <c r="A18" s="95" t="str">
        <f>Lists!$A$36</f>
        <v>Other_Linear_meter</v>
      </c>
      <c r="B18" s="129" t="s">
        <v>359</v>
      </c>
      <c r="C18" s="22" t="s">
        <v>352</v>
      </c>
      <c r="E18" s="132">
        <v>0</v>
      </c>
      <c r="F18" s="14">
        <f>SUMIF('Data input'!D$3:D$202,B18,$P$3:$P$202)</f>
        <v>0</v>
      </c>
      <c r="G18" s="4">
        <f t="shared" si="10"/>
        <v>0</v>
      </c>
      <c r="H18" s="131">
        <v>0</v>
      </c>
      <c r="I18" s="131">
        <v>0</v>
      </c>
      <c r="J18" s="6">
        <f t="shared" si="11"/>
        <v>0</v>
      </c>
      <c r="K18" s="6">
        <f t="shared" si="12"/>
        <v>0</v>
      </c>
      <c r="L18" s="4">
        <f>SUMIF('Data input'!$D$3:$D$202,B18,$X$3:$X$202)</f>
        <v>0</v>
      </c>
      <c r="M18" s="4">
        <f>SUMIF('Data input'!$D$3:$D$202,B18,$AC$3:$AC$202)</f>
        <v>0</v>
      </c>
      <c r="N18" s="67">
        <f>SUMIF('Data input'!$D$3:$D$202,B18,$AD$3:$AD$202)</f>
        <v>0</v>
      </c>
      <c r="O18" s="30">
        <f>'Data input'!A18</f>
        <v>16</v>
      </c>
      <c r="P18" s="11">
        <f>'Data input'!G18*('Data input'!H18/1000)</f>
        <v>0</v>
      </c>
      <c r="Q18" s="11">
        <f>'Data input'!G18*('Data input'!H18/1000)*('Data input'!I18/1000)</f>
        <v>0</v>
      </c>
      <c r="R18" s="11">
        <f>'Data input'!G18*('Data input'!H18/1000)*('Data input'!I18/1000)*('Data input'!J18/1000)</f>
        <v>0</v>
      </c>
      <c r="S18" s="11" t="str">
        <f>IF(ISNA(VLOOKUP('Data input'!D18,$B$2:$C$200,2,FALSE)),"",VLOOKUP('Data input'!D18,$B$2:$C$200,2,FALSE))</f>
        <v/>
      </c>
      <c r="T18" s="11" t="str">
        <f>IF(S18="m3",Costs!R18,IF(S18="Each",'Data input'!G18,IF(S18="m",Costs!P18,IF(S18="m2",Costs!Q18,""))))</f>
        <v/>
      </c>
      <c r="U18" s="4" t="str">
        <f>IF(ISNA(VLOOKUP('Data input'!D18,$B$2:$J$200,9,FALSE)),"",VLOOKUP('Data input'!D18,$B$2:$J$200,9,FALSE))</f>
        <v/>
      </c>
      <c r="V18" s="4" t="e">
        <f t="shared" si="5"/>
        <v>#VALUE!</v>
      </c>
      <c r="W18">
        <f>'Data input'!M18</f>
        <v>0</v>
      </c>
      <c r="X18" s="4">
        <f t="shared" si="3"/>
        <v>0</v>
      </c>
      <c r="Y18" s="4" t="e">
        <f t="shared" si="6"/>
        <v>#VALUE!</v>
      </c>
      <c r="Z18" s="4" t="str">
        <f>IF(ISNA(VLOOKUP('Data input'!D18,$B$2:$E$200,4,FALSE)),"",VLOOKUP('Data input'!D18,$B$2:$E$200,4,FALSE))</f>
        <v/>
      </c>
      <c r="AA18" s="4" t="e">
        <f t="shared" si="4"/>
        <v>#VALUE!</v>
      </c>
      <c r="AB18">
        <f>'Data input'!N18</f>
        <v>0</v>
      </c>
      <c r="AC18">
        <f t="shared" si="7"/>
        <v>0</v>
      </c>
      <c r="AD18" s="4">
        <f t="shared" si="8"/>
        <v>0</v>
      </c>
      <c r="AE18" s="6">
        <f t="shared" si="9"/>
        <v>0</v>
      </c>
    </row>
    <row r="19" spans="1:31" x14ac:dyDescent="0.35">
      <c r="A19" s="95" t="str">
        <f>Lists!$A$36</f>
        <v>Other_Linear_meter</v>
      </c>
      <c r="B19" s="129" t="s">
        <v>360</v>
      </c>
      <c r="C19" s="22" t="s">
        <v>352</v>
      </c>
      <c r="E19" s="132">
        <v>0</v>
      </c>
      <c r="F19" s="14">
        <f>SUMIF('Data input'!D$3:D$202,B19,$P$3:$P$202)</f>
        <v>0</v>
      </c>
      <c r="G19" s="4">
        <f t="shared" si="10"/>
        <v>0</v>
      </c>
      <c r="H19" s="131">
        <v>0</v>
      </c>
      <c r="I19" s="131">
        <v>0</v>
      </c>
      <c r="J19" s="6">
        <f t="shared" si="11"/>
        <v>0</v>
      </c>
      <c r="K19" s="6">
        <f t="shared" si="12"/>
        <v>0</v>
      </c>
      <c r="L19" s="4">
        <f>SUMIF('Data input'!$D$3:$D$202,B19,$X$3:$X$202)</f>
        <v>0</v>
      </c>
      <c r="M19" s="4">
        <f>SUMIF('Data input'!$D$3:$D$202,B19,$AC$3:$AC$202)</f>
        <v>0</v>
      </c>
      <c r="N19" s="67">
        <f>SUMIF('Data input'!$D$3:$D$202,B19,$AD$3:$AD$202)</f>
        <v>0</v>
      </c>
      <c r="O19" s="30">
        <f>'Data input'!A19</f>
        <v>17</v>
      </c>
      <c r="P19" s="11">
        <f>'Data input'!G19*('Data input'!H19/1000)</f>
        <v>0</v>
      </c>
      <c r="Q19" s="11">
        <f>'Data input'!G19*('Data input'!H19/1000)*('Data input'!I19/1000)</f>
        <v>0</v>
      </c>
      <c r="R19" s="11">
        <f>'Data input'!G19*('Data input'!H19/1000)*('Data input'!I19/1000)*('Data input'!J19/1000)</f>
        <v>0</v>
      </c>
      <c r="S19" s="11" t="str">
        <f>IF(ISNA(VLOOKUP('Data input'!D19,$B$2:$C$200,2,FALSE)),"",VLOOKUP('Data input'!D19,$B$2:$C$200,2,FALSE))</f>
        <v/>
      </c>
      <c r="T19" s="11" t="str">
        <f>IF(S19="m3",Costs!R19,IF(S19="Each",'Data input'!G19,IF(S19="m",Costs!P19,IF(S19="m2",Costs!Q19,""))))</f>
        <v/>
      </c>
      <c r="U19" s="4" t="str">
        <f>IF(ISNA(VLOOKUP('Data input'!D19,$B$2:$J$200,9,FALSE)),"",VLOOKUP('Data input'!D19,$B$2:$J$200,9,FALSE))</f>
        <v/>
      </c>
      <c r="V19" s="4" t="e">
        <f t="shared" si="5"/>
        <v>#VALUE!</v>
      </c>
      <c r="W19">
        <f>'Data input'!M19</f>
        <v>0</v>
      </c>
      <c r="X19" s="4">
        <f t="shared" si="3"/>
        <v>0</v>
      </c>
      <c r="Y19" s="4" t="e">
        <f t="shared" si="6"/>
        <v>#VALUE!</v>
      </c>
      <c r="Z19" s="4" t="str">
        <f>IF(ISNA(VLOOKUP('Data input'!D19,$B$2:$E$200,4,FALSE)),"",VLOOKUP('Data input'!D19,$B$2:$E$200,4,FALSE))</f>
        <v/>
      </c>
      <c r="AA19" s="4" t="e">
        <f t="shared" si="4"/>
        <v>#VALUE!</v>
      </c>
      <c r="AB19">
        <f>'Data input'!N19</f>
        <v>0</v>
      </c>
      <c r="AC19">
        <f t="shared" si="7"/>
        <v>0</v>
      </c>
      <c r="AD19" s="4">
        <f t="shared" si="8"/>
        <v>0</v>
      </c>
      <c r="AE19" s="6">
        <f t="shared" si="9"/>
        <v>0</v>
      </c>
    </row>
    <row r="20" spans="1:31" x14ac:dyDescent="0.35">
      <c r="A20" s="70" t="str">
        <f>Lists!$A$37</f>
        <v>Other_Square_meter</v>
      </c>
      <c r="B20" s="129" t="s">
        <v>361</v>
      </c>
      <c r="C20" s="22" t="s">
        <v>362</v>
      </c>
      <c r="D20" s="5"/>
      <c r="E20" s="131">
        <v>32.729999999999997</v>
      </c>
      <c r="F20" s="14">
        <f>SUMIF('Data input'!D$3:D$202,B20,$Q$3:$Q$202)</f>
        <v>0</v>
      </c>
      <c r="G20" s="4">
        <f>E20*F20</f>
        <v>0</v>
      </c>
      <c r="H20" s="131">
        <v>10.130000000000001</v>
      </c>
      <c r="I20" s="131">
        <v>0</v>
      </c>
      <c r="J20" s="6">
        <f>H20+I20</f>
        <v>10.130000000000001</v>
      </c>
      <c r="K20" s="6">
        <f>F20*J20</f>
        <v>0</v>
      </c>
      <c r="L20" s="4">
        <f>SUMIF('Data input'!$D$3:$D$202,B20,$X$3:$X$202)</f>
        <v>0</v>
      </c>
      <c r="M20" s="4">
        <f>SUMIF('Data input'!$D$3:$D$202,B20,$AC$3:$AC$202)</f>
        <v>0</v>
      </c>
      <c r="N20" s="67">
        <f>SUMIF('Data input'!$D$3:$D$202,B20,$AD$3:$AD$202)</f>
        <v>0</v>
      </c>
      <c r="O20" s="30">
        <f>'Data input'!A20</f>
        <v>18</v>
      </c>
      <c r="P20" s="11">
        <f>'Data input'!G20*('Data input'!H20/1000)</f>
        <v>0</v>
      </c>
      <c r="Q20" s="11">
        <f>'Data input'!G20*('Data input'!H20/1000)*('Data input'!I20/1000)</f>
        <v>0</v>
      </c>
      <c r="R20" s="11">
        <f>'Data input'!G20*('Data input'!H20/1000)*('Data input'!I20/1000)*('Data input'!J20/1000)</f>
        <v>0</v>
      </c>
      <c r="S20" s="11" t="str">
        <f>IF(ISNA(VLOOKUP('Data input'!D20,$B$2:$C$200,2,FALSE)),"",VLOOKUP('Data input'!D20,$B$2:$C$200,2,FALSE))</f>
        <v/>
      </c>
      <c r="T20" s="11" t="str">
        <f>IF(S20="m3",Costs!R20,IF(S20="Each",'Data input'!G20,IF(S20="m",Costs!P20,IF(S20="m2",Costs!Q20,""))))</f>
        <v/>
      </c>
      <c r="U20" s="4" t="str">
        <f>IF(ISNA(VLOOKUP('Data input'!D20,$B$2:$J$200,9,FALSE)),"",VLOOKUP('Data input'!D20,$B$2:$J$200,9,FALSE))</f>
        <v/>
      </c>
      <c r="V20" s="4" t="e">
        <f t="shared" si="5"/>
        <v>#VALUE!</v>
      </c>
      <c r="W20">
        <f>'Data input'!M20</f>
        <v>0</v>
      </c>
      <c r="X20" s="4">
        <f t="shared" si="3"/>
        <v>0</v>
      </c>
      <c r="Y20" s="4" t="e">
        <f t="shared" si="6"/>
        <v>#VALUE!</v>
      </c>
      <c r="Z20" s="4" t="str">
        <f>IF(ISNA(VLOOKUP('Data input'!D20,$B$2:$E$200,4,FALSE)),"",VLOOKUP('Data input'!D20,$B$2:$E$200,4,FALSE))</f>
        <v/>
      </c>
      <c r="AA20" s="4" t="e">
        <f t="shared" si="4"/>
        <v>#VALUE!</v>
      </c>
      <c r="AB20">
        <f>'Data input'!N20</f>
        <v>0</v>
      </c>
      <c r="AC20">
        <f t="shared" si="7"/>
        <v>0</v>
      </c>
      <c r="AD20" s="4">
        <f t="shared" si="8"/>
        <v>0</v>
      </c>
      <c r="AE20" s="6">
        <f t="shared" si="9"/>
        <v>0</v>
      </c>
    </row>
    <row r="21" spans="1:31" x14ac:dyDescent="0.35">
      <c r="A21" s="70" t="str">
        <f>Lists!$A$37</f>
        <v>Other_Square_meter</v>
      </c>
      <c r="B21" s="129" t="s">
        <v>363</v>
      </c>
      <c r="C21" s="22" t="s">
        <v>362</v>
      </c>
      <c r="E21" s="131">
        <v>47.19</v>
      </c>
      <c r="F21" s="14">
        <f>SUMIF('Data input'!D$3:D$202,B21,$Q$3:$Q$202)</f>
        <v>0</v>
      </c>
      <c r="G21" s="4">
        <f t="shared" ref="G21:G28" si="13">E21*F21</f>
        <v>0</v>
      </c>
      <c r="H21" s="131">
        <v>5.99</v>
      </c>
      <c r="I21" s="131">
        <v>0</v>
      </c>
      <c r="J21" s="6">
        <f t="shared" ref="J21:J28" si="14">H21+I21</f>
        <v>5.99</v>
      </c>
      <c r="K21" s="6">
        <f t="shared" ref="K21:K28" si="15">F21*J21</f>
        <v>0</v>
      </c>
      <c r="L21" s="4">
        <f>SUMIF('Data input'!$D$3:$D$202,B21,$X$3:$X$202)</f>
        <v>0</v>
      </c>
      <c r="M21" s="4">
        <f>SUMIF('Data input'!$D$3:$D$202,B21,$AC$3:$AC$202)</f>
        <v>0</v>
      </c>
      <c r="N21" s="67">
        <f>SUMIF('Data input'!$D$3:$D$202,B21,$AD$3:$AD$202)</f>
        <v>0</v>
      </c>
      <c r="O21" s="30">
        <f>'Data input'!A21</f>
        <v>19</v>
      </c>
      <c r="P21" s="11">
        <f>'Data input'!G21*('Data input'!H21/1000)</f>
        <v>0</v>
      </c>
      <c r="Q21" s="11">
        <f>'Data input'!G21*('Data input'!H21/1000)*('Data input'!I21/1000)</f>
        <v>0</v>
      </c>
      <c r="R21" s="11">
        <f>'Data input'!G21*('Data input'!H21/1000)*('Data input'!I21/1000)*('Data input'!J21/1000)</f>
        <v>0</v>
      </c>
      <c r="S21" s="11" t="str">
        <f>IF(ISNA(VLOOKUP('Data input'!D21,$B$2:$C$200,2,FALSE)),"",VLOOKUP('Data input'!D21,$B$2:$C$200,2,FALSE))</f>
        <v/>
      </c>
      <c r="T21" s="11" t="str">
        <f>IF(S21="m3",Costs!R21,IF(S21="Each",'Data input'!G21,IF(S21="m",Costs!P21,IF(S21="m2",Costs!Q21,""))))</f>
        <v/>
      </c>
      <c r="U21" s="4" t="str">
        <f>IF(ISNA(VLOOKUP('Data input'!D21,$B$2:$J$200,9,FALSE)),"",VLOOKUP('Data input'!D21,$B$2:$J$200,9,FALSE))</f>
        <v/>
      </c>
      <c r="V21" s="4" t="e">
        <f t="shared" si="5"/>
        <v>#VALUE!</v>
      </c>
      <c r="W21">
        <f>'Data input'!M21</f>
        <v>0</v>
      </c>
      <c r="X21" s="4">
        <f t="shared" si="3"/>
        <v>0</v>
      </c>
      <c r="Y21" s="4" t="e">
        <f t="shared" si="6"/>
        <v>#VALUE!</v>
      </c>
      <c r="Z21" s="4" t="str">
        <f>IF(ISNA(VLOOKUP('Data input'!D21,$B$2:$E$200,4,FALSE)),"",VLOOKUP('Data input'!D21,$B$2:$E$200,4,FALSE))</f>
        <v/>
      </c>
      <c r="AA21" s="4" t="e">
        <f t="shared" si="4"/>
        <v>#VALUE!</v>
      </c>
      <c r="AB21">
        <f>'Data input'!N21</f>
        <v>0</v>
      </c>
      <c r="AC21">
        <f t="shared" si="7"/>
        <v>0</v>
      </c>
      <c r="AD21" s="4">
        <f t="shared" si="8"/>
        <v>0</v>
      </c>
      <c r="AE21" s="6">
        <f t="shared" si="9"/>
        <v>0</v>
      </c>
    </row>
    <row r="22" spans="1:31" x14ac:dyDescent="0.35">
      <c r="A22" s="70" t="str">
        <f>Lists!$A$37</f>
        <v>Other_Square_meter</v>
      </c>
      <c r="B22" s="129" t="s">
        <v>364</v>
      </c>
      <c r="C22" s="22" t="s">
        <v>362</v>
      </c>
      <c r="E22" s="131">
        <v>0</v>
      </c>
      <c r="F22" s="14">
        <f>SUMIF('Data input'!D$3:D$202,B22,$Q$3:$Q$202)</f>
        <v>0</v>
      </c>
      <c r="G22" s="4">
        <f t="shared" si="13"/>
        <v>0</v>
      </c>
      <c r="H22" s="131">
        <v>0</v>
      </c>
      <c r="I22" s="131">
        <v>0</v>
      </c>
      <c r="J22" s="6">
        <f t="shared" si="14"/>
        <v>0</v>
      </c>
      <c r="K22" s="6">
        <f t="shared" si="15"/>
        <v>0</v>
      </c>
      <c r="L22" s="4">
        <f>SUMIF('Data input'!$D$3:$D$202,B22,$X$3:$X$202)</f>
        <v>0</v>
      </c>
      <c r="M22" s="4">
        <f>SUMIF('Data input'!$D$3:$D$202,B22,$AC$3:$AC$202)</f>
        <v>0</v>
      </c>
      <c r="N22" s="67">
        <f>SUMIF('Data input'!$D$3:$D$202,B22,$AD$3:$AD$202)</f>
        <v>0</v>
      </c>
      <c r="O22" s="30">
        <f>'Data input'!A22</f>
        <v>20</v>
      </c>
      <c r="P22" s="11">
        <f>'Data input'!G22*('Data input'!H22/1000)</f>
        <v>0</v>
      </c>
      <c r="Q22" s="11">
        <f>'Data input'!G22*('Data input'!H22/1000)*('Data input'!I22/1000)</f>
        <v>0</v>
      </c>
      <c r="R22" s="11">
        <f>'Data input'!G22*('Data input'!H22/1000)*('Data input'!I22/1000)*('Data input'!J22/1000)</f>
        <v>0</v>
      </c>
      <c r="S22" s="11" t="str">
        <f>IF(ISNA(VLOOKUP('Data input'!D22,$B$2:$C$200,2,FALSE)),"",VLOOKUP('Data input'!D22,$B$2:$C$200,2,FALSE))</f>
        <v/>
      </c>
      <c r="T22" s="11" t="str">
        <f>IF(S22="m3",Costs!R22,IF(S22="Each",'Data input'!G22,IF(S22="m",Costs!P22,IF(S22="m2",Costs!Q22,""))))</f>
        <v/>
      </c>
      <c r="U22" s="4" t="str">
        <f>IF(ISNA(VLOOKUP('Data input'!D22,$B$2:$J$200,9,FALSE)),"",VLOOKUP('Data input'!D22,$B$2:$J$200,9,FALSE))</f>
        <v/>
      </c>
      <c r="V22" s="4" t="e">
        <f t="shared" si="5"/>
        <v>#VALUE!</v>
      </c>
      <c r="W22">
        <f>'Data input'!M22</f>
        <v>0</v>
      </c>
      <c r="X22" s="4">
        <f t="shared" si="3"/>
        <v>0</v>
      </c>
      <c r="Y22" s="4" t="e">
        <f t="shared" si="6"/>
        <v>#VALUE!</v>
      </c>
      <c r="Z22" s="4" t="str">
        <f>IF(ISNA(VLOOKUP('Data input'!D22,$B$2:$E$200,4,FALSE)),"",VLOOKUP('Data input'!D22,$B$2:$E$200,4,FALSE))</f>
        <v/>
      </c>
      <c r="AA22" s="4" t="e">
        <f t="shared" si="4"/>
        <v>#VALUE!</v>
      </c>
      <c r="AB22">
        <f>'Data input'!N22</f>
        <v>0</v>
      </c>
      <c r="AC22">
        <f t="shared" si="7"/>
        <v>0</v>
      </c>
      <c r="AD22" s="4">
        <f t="shared" si="8"/>
        <v>0</v>
      </c>
      <c r="AE22" s="6">
        <f t="shared" si="9"/>
        <v>0</v>
      </c>
    </row>
    <row r="23" spans="1:31" x14ac:dyDescent="0.35">
      <c r="A23" s="70" t="str">
        <f>Lists!$A$37</f>
        <v>Other_Square_meter</v>
      </c>
      <c r="B23" s="129" t="s">
        <v>365</v>
      </c>
      <c r="C23" s="22" t="s">
        <v>362</v>
      </c>
      <c r="E23" s="131">
        <v>0</v>
      </c>
      <c r="F23" s="14">
        <f>SUMIF('Data input'!D$3:D$202,B23,$Q$3:$Q$202)</f>
        <v>0</v>
      </c>
      <c r="G23" s="4">
        <f t="shared" si="13"/>
        <v>0</v>
      </c>
      <c r="H23" s="131">
        <v>0</v>
      </c>
      <c r="I23" s="131">
        <v>0</v>
      </c>
      <c r="J23" s="6">
        <f t="shared" si="14"/>
        <v>0</v>
      </c>
      <c r="K23" s="6">
        <f t="shared" si="15"/>
        <v>0</v>
      </c>
      <c r="L23" s="4">
        <f>SUMIF('Data input'!$D$3:$D$202,B23,$X$3:$X$202)</f>
        <v>0</v>
      </c>
      <c r="M23" s="4">
        <f>SUMIF('Data input'!$D$3:$D$202,B23,$AC$3:$AC$202)</f>
        <v>0</v>
      </c>
      <c r="N23" s="67">
        <f>SUMIF('Data input'!$D$3:$D$202,B23,$AD$3:$AD$202)</f>
        <v>0</v>
      </c>
      <c r="O23" s="30">
        <f>'Data input'!A23</f>
        <v>21</v>
      </c>
      <c r="P23" s="11">
        <f>'Data input'!G23*('Data input'!H23/1000)</f>
        <v>0</v>
      </c>
      <c r="Q23" s="11">
        <f>'Data input'!G23*('Data input'!H23/1000)*('Data input'!I23/1000)</f>
        <v>0</v>
      </c>
      <c r="R23" s="11">
        <f>'Data input'!G23*('Data input'!H23/1000)*('Data input'!I23/1000)*('Data input'!J23/1000)</f>
        <v>0</v>
      </c>
      <c r="S23" s="11" t="str">
        <f>IF(ISNA(VLOOKUP('Data input'!D23,$B$2:$C$200,2,FALSE)),"",VLOOKUP('Data input'!D23,$B$2:$C$200,2,FALSE))</f>
        <v/>
      </c>
      <c r="T23" s="11" t="str">
        <f>IF(S23="m3",Costs!R23,IF(S23="Each",'Data input'!G23,IF(S23="m",Costs!P23,IF(S23="m2",Costs!Q23,""))))</f>
        <v/>
      </c>
      <c r="U23" s="4" t="str">
        <f>IF(ISNA(VLOOKUP('Data input'!D23,$B$2:$J$200,9,FALSE)),"",VLOOKUP('Data input'!D23,$B$2:$J$200,9,FALSE))</f>
        <v/>
      </c>
      <c r="V23" s="4" t="e">
        <f t="shared" si="5"/>
        <v>#VALUE!</v>
      </c>
      <c r="W23">
        <f>'Data input'!M23</f>
        <v>0</v>
      </c>
      <c r="X23" s="4">
        <f t="shared" si="3"/>
        <v>0</v>
      </c>
      <c r="Y23" s="4" t="e">
        <f t="shared" si="6"/>
        <v>#VALUE!</v>
      </c>
      <c r="Z23" s="4" t="str">
        <f>IF(ISNA(VLOOKUP('Data input'!D23,$B$2:$E$200,4,FALSE)),"",VLOOKUP('Data input'!D23,$B$2:$E$200,4,FALSE))</f>
        <v/>
      </c>
      <c r="AA23" s="4" t="e">
        <f t="shared" si="4"/>
        <v>#VALUE!</v>
      </c>
      <c r="AB23">
        <f>'Data input'!N23</f>
        <v>0</v>
      </c>
      <c r="AC23">
        <f t="shared" si="7"/>
        <v>0</v>
      </c>
      <c r="AD23" s="4">
        <f t="shared" si="8"/>
        <v>0</v>
      </c>
      <c r="AE23" s="6">
        <f t="shared" si="9"/>
        <v>0</v>
      </c>
    </row>
    <row r="24" spans="1:31" x14ac:dyDescent="0.35">
      <c r="A24" s="70" t="str">
        <f>Lists!$A$37</f>
        <v>Other_Square_meter</v>
      </c>
      <c r="B24" s="129" t="s">
        <v>366</v>
      </c>
      <c r="C24" s="22" t="s">
        <v>362</v>
      </c>
      <c r="E24" s="131">
        <v>0</v>
      </c>
      <c r="F24" s="14">
        <f>SUMIF('Data input'!D$3:D$202,B24,$Q$3:$Q$202)</f>
        <v>0</v>
      </c>
      <c r="G24" s="4">
        <f t="shared" si="13"/>
        <v>0</v>
      </c>
      <c r="H24" s="131">
        <v>0</v>
      </c>
      <c r="I24" s="131">
        <v>0</v>
      </c>
      <c r="J24" s="6">
        <f t="shared" si="14"/>
        <v>0</v>
      </c>
      <c r="K24" s="6">
        <f t="shared" si="15"/>
        <v>0</v>
      </c>
      <c r="L24" s="4">
        <f>SUMIF('Data input'!$D$3:$D$202,B24,$X$3:$X$202)</f>
        <v>0</v>
      </c>
      <c r="M24" s="4">
        <f>SUMIF('Data input'!$D$3:$D$202,B24,$AC$3:$AC$202)</f>
        <v>0</v>
      </c>
      <c r="N24" s="67">
        <f>SUMIF('Data input'!$D$3:$D$202,B24,$AD$3:$AD$202)</f>
        <v>0</v>
      </c>
      <c r="O24" s="30">
        <f>'Data input'!A24</f>
        <v>22</v>
      </c>
      <c r="P24" s="11">
        <f>'Data input'!G24*('Data input'!H24/1000)</f>
        <v>0</v>
      </c>
      <c r="Q24" s="11">
        <f>'Data input'!G24*('Data input'!H24/1000)*('Data input'!I24/1000)</f>
        <v>0</v>
      </c>
      <c r="R24" s="11">
        <f>'Data input'!G24*('Data input'!H24/1000)*('Data input'!I24/1000)*('Data input'!J24/1000)</f>
        <v>0</v>
      </c>
      <c r="S24" s="11" t="str">
        <f>IF(ISNA(VLOOKUP('Data input'!D24,$B$2:$C$200,2,FALSE)),"",VLOOKUP('Data input'!D24,$B$2:$C$200,2,FALSE))</f>
        <v/>
      </c>
      <c r="T24" s="11" t="str">
        <f>IF(S24="m3",Costs!R24,IF(S24="Each",'Data input'!G24,IF(S24="m",Costs!P24,IF(S24="m2",Costs!Q24,""))))</f>
        <v/>
      </c>
      <c r="U24" s="4" t="str">
        <f>IF(ISNA(VLOOKUP('Data input'!D24,$B$2:$J$200,9,FALSE)),"",VLOOKUP('Data input'!D24,$B$2:$J$200,9,FALSE))</f>
        <v/>
      </c>
      <c r="V24" s="4" t="e">
        <f t="shared" si="5"/>
        <v>#VALUE!</v>
      </c>
      <c r="W24">
        <f>'Data input'!M24</f>
        <v>0</v>
      </c>
      <c r="X24" s="4">
        <f t="shared" si="3"/>
        <v>0</v>
      </c>
      <c r="Y24" s="4" t="e">
        <f t="shared" si="6"/>
        <v>#VALUE!</v>
      </c>
      <c r="Z24" s="4" t="str">
        <f>IF(ISNA(VLOOKUP('Data input'!D24,$B$2:$E$200,4,FALSE)),"",VLOOKUP('Data input'!D24,$B$2:$E$200,4,FALSE))</f>
        <v/>
      </c>
      <c r="AA24" s="4" t="e">
        <f t="shared" si="4"/>
        <v>#VALUE!</v>
      </c>
      <c r="AB24">
        <f>'Data input'!N24</f>
        <v>0</v>
      </c>
      <c r="AC24">
        <f t="shared" si="7"/>
        <v>0</v>
      </c>
      <c r="AD24" s="4">
        <f t="shared" si="8"/>
        <v>0</v>
      </c>
      <c r="AE24" s="6">
        <f t="shared" si="9"/>
        <v>0</v>
      </c>
    </row>
    <row r="25" spans="1:31" x14ac:dyDescent="0.35">
      <c r="A25" s="70" t="str">
        <f>Lists!$A$37</f>
        <v>Other_Square_meter</v>
      </c>
      <c r="B25" s="129" t="s">
        <v>367</v>
      </c>
      <c r="C25" s="22" t="s">
        <v>362</v>
      </c>
      <c r="E25" s="131">
        <v>0</v>
      </c>
      <c r="F25" s="14">
        <f>SUMIF('Data input'!D$3:D$202,B25,$Q$3:$Q$202)</f>
        <v>0</v>
      </c>
      <c r="G25" s="4">
        <f t="shared" si="13"/>
        <v>0</v>
      </c>
      <c r="H25" s="131">
        <v>0</v>
      </c>
      <c r="I25" s="131">
        <v>0</v>
      </c>
      <c r="J25" s="6">
        <f t="shared" si="14"/>
        <v>0</v>
      </c>
      <c r="K25" s="6">
        <f t="shared" si="15"/>
        <v>0</v>
      </c>
      <c r="L25" s="4">
        <f>SUMIF('Data input'!$D$3:$D$202,B25,$X$3:$X$202)</f>
        <v>0</v>
      </c>
      <c r="M25" s="4">
        <f>SUMIF('Data input'!$D$3:$D$202,B25,$AC$3:$AC$202)</f>
        <v>0</v>
      </c>
      <c r="N25" s="67">
        <f>SUMIF('Data input'!$D$3:$D$202,B25,$AD$3:$AD$202)</f>
        <v>0</v>
      </c>
      <c r="O25" s="30">
        <f>'Data input'!A25</f>
        <v>23</v>
      </c>
      <c r="P25" s="11">
        <f>'Data input'!G25*('Data input'!H25/1000)</f>
        <v>0</v>
      </c>
      <c r="Q25" s="11">
        <f>'Data input'!G25*('Data input'!H25/1000)*('Data input'!I25/1000)</f>
        <v>0</v>
      </c>
      <c r="R25" s="11">
        <f>'Data input'!G25*('Data input'!H25/1000)*('Data input'!I25/1000)*('Data input'!J25/1000)</f>
        <v>0</v>
      </c>
      <c r="S25" s="11" t="str">
        <f>IF(ISNA(VLOOKUP('Data input'!D25,$B$2:$C$200,2,FALSE)),"",VLOOKUP('Data input'!D25,$B$2:$C$200,2,FALSE))</f>
        <v/>
      </c>
      <c r="T25" s="11" t="str">
        <f>IF(S25="m3",Costs!R25,IF(S25="Each",'Data input'!G25,IF(S25="m",Costs!P25,IF(S25="m2",Costs!Q25,""))))</f>
        <v/>
      </c>
      <c r="U25" s="4" t="str">
        <f>IF(ISNA(VLOOKUP('Data input'!D25,$B$2:$J$200,9,FALSE)),"",VLOOKUP('Data input'!D25,$B$2:$J$200,9,FALSE))</f>
        <v/>
      </c>
      <c r="V25" s="4" t="e">
        <f t="shared" si="5"/>
        <v>#VALUE!</v>
      </c>
      <c r="W25">
        <f>'Data input'!M25</f>
        <v>0</v>
      </c>
      <c r="X25" s="4">
        <f t="shared" si="3"/>
        <v>0</v>
      </c>
      <c r="Y25" s="4" t="e">
        <f t="shared" si="6"/>
        <v>#VALUE!</v>
      </c>
      <c r="Z25" s="4" t="str">
        <f>IF(ISNA(VLOOKUP('Data input'!D25,$B$2:$E$200,4,FALSE)),"",VLOOKUP('Data input'!D25,$B$2:$E$200,4,FALSE))</f>
        <v/>
      </c>
      <c r="AA25" s="4" t="e">
        <f t="shared" si="4"/>
        <v>#VALUE!</v>
      </c>
      <c r="AB25">
        <f>'Data input'!N25</f>
        <v>0</v>
      </c>
      <c r="AC25">
        <f t="shared" si="7"/>
        <v>0</v>
      </c>
      <c r="AD25" s="4">
        <f t="shared" si="8"/>
        <v>0</v>
      </c>
      <c r="AE25" s="6">
        <f t="shared" si="9"/>
        <v>0</v>
      </c>
    </row>
    <row r="26" spans="1:31" x14ac:dyDescent="0.35">
      <c r="A26" s="70" t="str">
        <f>Lists!$A$37</f>
        <v>Other_Square_meter</v>
      </c>
      <c r="B26" s="129" t="s">
        <v>368</v>
      </c>
      <c r="C26" s="22" t="s">
        <v>362</v>
      </c>
      <c r="E26" s="131">
        <v>0</v>
      </c>
      <c r="F26" s="14">
        <f>SUMIF('Data input'!D$3:D$202,B26,$Q$3:$Q$202)</f>
        <v>0</v>
      </c>
      <c r="G26" s="4">
        <f t="shared" si="13"/>
        <v>0</v>
      </c>
      <c r="H26" s="131">
        <v>0</v>
      </c>
      <c r="I26" s="131">
        <v>0</v>
      </c>
      <c r="J26" s="6">
        <f t="shared" si="14"/>
        <v>0</v>
      </c>
      <c r="K26" s="6">
        <f t="shared" si="15"/>
        <v>0</v>
      </c>
      <c r="L26" s="4">
        <f>SUMIF('Data input'!$D$3:$D$202,B26,$X$3:$X$202)</f>
        <v>0</v>
      </c>
      <c r="M26" s="4">
        <f>SUMIF('Data input'!$D$3:$D$202,B26,$AC$3:$AC$202)</f>
        <v>0</v>
      </c>
      <c r="N26" s="67">
        <f>SUMIF('Data input'!$D$3:$D$202,B26,$AD$3:$AD$202)</f>
        <v>0</v>
      </c>
      <c r="O26" s="30">
        <f>'Data input'!A26</f>
        <v>24</v>
      </c>
      <c r="P26" s="11">
        <f>'Data input'!G26*('Data input'!H26/1000)</f>
        <v>0</v>
      </c>
      <c r="Q26" s="11">
        <f>'Data input'!G26*('Data input'!H26/1000)*('Data input'!I26/1000)</f>
        <v>0</v>
      </c>
      <c r="R26" s="11">
        <f>'Data input'!G26*('Data input'!H26/1000)*('Data input'!I26/1000)*('Data input'!J26/1000)</f>
        <v>0</v>
      </c>
      <c r="S26" s="11" t="str">
        <f>IF(ISNA(VLOOKUP('Data input'!D26,$B$2:$C$200,2,FALSE)),"",VLOOKUP('Data input'!D26,$B$2:$C$200,2,FALSE))</f>
        <v/>
      </c>
      <c r="T26" s="11" t="str">
        <f>IF(S26="m3",Costs!R26,IF(S26="Each",'Data input'!G26,IF(S26="m",Costs!P26,IF(S26="m2",Costs!Q26,""))))</f>
        <v/>
      </c>
      <c r="U26" s="4" t="str">
        <f>IF(ISNA(VLOOKUP('Data input'!D26,$B$2:$J$200,9,FALSE)),"",VLOOKUP('Data input'!D26,$B$2:$J$200,9,FALSE))</f>
        <v/>
      </c>
      <c r="V26" s="4" t="e">
        <f t="shared" si="5"/>
        <v>#VALUE!</v>
      </c>
      <c r="W26">
        <f>'Data input'!M26</f>
        <v>0</v>
      </c>
      <c r="X26" s="4">
        <f t="shared" si="3"/>
        <v>0</v>
      </c>
      <c r="Y26" s="4" t="e">
        <f t="shared" si="6"/>
        <v>#VALUE!</v>
      </c>
      <c r="Z26" s="4" t="str">
        <f>IF(ISNA(VLOOKUP('Data input'!D26,$B$2:$E$200,4,FALSE)),"",VLOOKUP('Data input'!D26,$B$2:$E$200,4,FALSE))</f>
        <v/>
      </c>
      <c r="AA26" s="4" t="e">
        <f t="shared" si="4"/>
        <v>#VALUE!</v>
      </c>
      <c r="AB26">
        <f>'Data input'!N26</f>
        <v>0</v>
      </c>
      <c r="AC26">
        <f t="shared" si="7"/>
        <v>0</v>
      </c>
      <c r="AD26" s="4">
        <f t="shared" si="8"/>
        <v>0</v>
      </c>
      <c r="AE26" s="6">
        <f t="shared" si="9"/>
        <v>0</v>
      </c>
    </row>
    <row r="27" spans="1:31" x14ac:dyDescent="0.35">
      <c r="A27" s="70" t="str">
        <f>Lists!$A$37</f>
        <v>Other_Square_meter</v>
      </c>
      <c r="B27" s="129" t="s">
        <v>369</v>
      </c>
      <c r="C27" s="22" t="s">
        <v>362</v>
      </c>
      <c r="E27" s="131">
        <v>0</v>
      </c>
      <c r="F27" s="14">
        <f>SUMIF('Data input'!D$3:D$202,B27,$Q$3:$Q$202)</f>
        <v>0</v>
      </c>
      <c r="G27" s="4">
        <f t="shared" si="13"/>
        <v>0</v>
      </c>
      <c r="H27" s="131">
        <v>0</v>
      </c>
      <c r="I27" s="131">
        <v>0</v>
      </c>
      <c r="J27" s="6">
        <f t="shared" si="14"/>
        <v>0</v>
      </c>
      <c r="K27" s="6">
        <f t="shared" si="15"/>
        <v>0</v>
      </c>
      <c r="L27" s="4">
        <f>SUMIF('Data input'!$D$3:$D$202,B27,$X$3:$X$202)</f>
        <v>0</v>
      </c>
      <c r="M27" s="4">
        <f>SUMIF('Data input'!$D$3:$D$202,B27,$AC$3:$AC$202)</f>
        <v>0</v>
      </c>
      <c r="N27" s="67">
        <f>SUMIF('Data input'!$D$3:$D$202,B27,$AD$3:$AD$202)</f>
        <v>0</v>
      </c>
      <c r="O27" s="30">
        <f>'Data input'!A27</f>
        <v>25</v>
      </c>
      <c r="P27" s="11">
        <f>'Data input'!G27*('Data input'!H27/1000)</f>
        <v>0</v>
      </c>
      <c r="Q27" s="11">
        <f>'Data input'!G27*('Data input'!H27/1000)*('Data input'!I27/1000)</f>
        <v>0</v>
      </c>
      <c r="R27" s="11">
        <f>'Data input'!G27*('Data input'!H27/1000)*('Data input'!I27/1000)*('Data input'!J27/1000)</f>
        <v>0</v>
      </c>
      <c r="S27" s="11" t="str">
        <f>IF(ISNA(VLOOKUP('Data input'!D27,$B$2:$C$200,2,FALSE)),"",VLOOKUP('Data input'!D27,$B$2:$C$200,2,FALSE))</f>
        <v/>
      </c>
      <c r="T27" s="11" t="str">
        <f>IF(S27="m3",Costs!R27,IF(S27="Each",'Data input'!G27,IF(S27="m",Costs!P27,IF(S27="m2",Costs!Q27,""))))</f>
        <v/>
      </c>
      <c r="U27" s="4" t="str">
        <f>IF(ISNA(VLOOKUP('Data input'!D27,$B$2:$J$200,9,FALSE)),"",VLOOKUP('Data input'!D27,$B$2:$J$200,9,FALSE))</f>
        <v/>
      </c>
      <c r="V27" s="4" t="e">
        <f t="shared" si="5"/>
        <v>#VALUE!</v>
      </c>
      <c r="W27">
        <f>'Data input'!M27</f>
        <v>0</v>
      </c>
      <c r="X27" s="4">
        <f t="shared" si="3"/>
        <v>0</v>
      </c>
      <c r="Y27" s="4" t="e">
        <f t="shared" si="6"/>
        <v>#VALUE!</v>
      </c>
      <c r="Z27" s="4" t="str">
        <f>IF(ISNA(VLOOKUP('Data input'!D27,$B$2:$E$200,4,FALSE)),"",VLOOKUP('Data input'!D27,$B$2:$E$200,4,FALSE))</f>
        <v/>
      </c>
      <c r="AA27" s="4" t="e">
        <f t="shared" si="4"/>
        <v>#VALUE!</v>
      </c>
      <c r="AB27">
        <f>'Data input'!N27</f>
        <v>0</v>
      </c>
      <c r="AC27">
        <f t="shared" si="7"/>
        <v>0</v>
      </c>
      <c r="AD27" s="4">
        <f t="shared" si="8"/>
        <v>0</v>
      </c>
      <c r="AE27" s="6">
        <f t="shared" si="9"/>
        <v>0</v>
      </c>
    </row>
    <row r="28" spans="1:31" x14ac:dyDescent="0.35">
      <c r="A28" s="70" t="str">
        <f>Lists!$A$37</f>
        <v>Other_Square_meter</v>
      </c>
      <c r="B28" s="129" t="s">
        <v>370</v>
      </c>
      <c r="C28" s="22" t="s">
        <v>362</v>
      </c>
      <c r="E28" s="131">
        <v>0</v>
      </c>
      <c r="F28" s="14">
        <f>SUMIF('Data input'!D$3:D$202,B28,$Q$3:$Q$202)</f>
        <v>0</v>
      </c>
      <c r="G28" s="4">
        <f t="shared" si="13"/>
        <v>0</v>
      </c>
      <c r="H28" s="131">
        <v>0</v>
      </c>
      <c r="I28" s="131">
        <v>0</v>
      </c>
      <c r="J28" s="6">
        <f t="shared" si="14"/>
        <v>0</v>
      </c>
      <c r="K28" s="6">
        <f t="shared" si="15"/>
        <v>0</v>
      </c>
      <c r="L28" s="4">
        <f>SUMIF('Data input'!$D$3:$D$202,B28,$X$3:$X$202)</f>
        <v>0</v>
      </c>
      <c r="M28" s="4">
        <f>SUMIF('Data input'!$D$3:$D$202,B28,$AC$3:$AC$202)</f>
        <v>0</v>
      </c>
      <c r="N28" s="67">
        <f>SUMIF('Data input'!$D$3:$D$202,B28,$AD$3:$AD$202)</f>
        <v>0</v>
      </c>
      <c r="O28" s="30">
        <f>'Data input'!A28</f>
        <v>26</v>
      </c>
      <c r="P28" s="11">
        <f>'Data input'!G28*('Data input'!H28/1000)</f>
        <v>0</v>
      </c>
      <c r="Q28" s="11">
        <f>'Data input'!G28*('Data input'!H28/1000)*('Data input'!I28/1000)</f>
        <v>0</v>
      </c>
      <c r="R28" s="11">
        <f>'Data input'!G28*('Data input'!H28/1000)*('Data input'!I28/1000)*('Data input'!J28/1000)</f>
        <v>0</v>
      </c>
      <c r="S28" s="11" t="str">
        <f>IF(ISNA(VLOOKUP('Data input'!D28,$B$2:$C$200,2,FALSE)),"",VLOOKUP('Data input'!D28,$B$2:$C$200,2,FALSE))</f>
        <v/>
      </c>
      <c r="T28" s="11" t="str">
        <f>IF(S28="m3",Costs!R28,IF(S28="Each",'Data input'!G28,IF(S28="m",Costs!P28,IF(S28="m2",Costs!Q28,""))))</f>
        <v/>
      </c>
      <c r="U28" s="4" t="str">
        <f>IF(ISNA(VLOOKUP('Data input'!D28,$B$2:$J$200,9,FALSE)),"",VLOOKUP('Data input'!D28,$B$2:$J$200,9,FALSE))</f>
        <v/>
      </c>
      <c r="V28" s="4" t="e">
        <f t="shared" si="5"/>
        <v>#VALUE!</v>
      </c>
      <c r="W28">
        <f>'Data input'!M28</f>
        <v>0</v>
      </c>
      <c r="X28" s="4">
        <f t="shared" si="3"/>
        <v>0</v>
      </c>
      <c r="Y28" s="4" t="e">
        <f t="shared" si="6"/>
        <v>#VALUE!</v>
      </c>
      <c r="Z28" s="4" t="str">
        <f>IF(ISNA(VLOOKUP('Data input'!D28,$B$2:$E$200,4,FALSE)),"",VLOOKUP('Data input'!D28,$B$2:$E$200,4,FALSE))</f>
        <v/>
      </c>
      <c r="AA28" s="4" t="e">
        <f t="shared" si="4"/>
        <v>#VALUE!</v>
      </c>
      <c r="AB28">
        <f>'Data input'!N28</f>
        <v>0</v>
      </c>
      <c r="AC28">
        <f t="shared" si="7"/>
        <v>0</v>
      </c>
      <c r="AD28" s="4">
        <f t="shared" si="8"/>
        <v>0</v>
      </c>
      <c r="AE28" s="6">
        <f t="shared" si="9"/>
        <v>0</v>
      </c>
    </row>
    <row r="29" spans="1:31" x14ac:dyDescent="0.35">
      <c r="A29" s="95" t="str">
        <f>Lists!$A$38</f>
        <v>Other_Volume_cubic_meter</v>
      </c>
      <c r="B29" s="129" t="s">
        <v>371</v>
      </c>
      <c r="C29" s="22" t="s">
        <v>372</v>
      </c>
      <c r="D29" s="5"/>
      <c r="E29" s="131"/>
      <c r="F29" s="14">
        <f>SUMIF('Data input'!D$3:D$202,B29,$R$3:$R$202)</f>
        <v>0</v>
      </c>
      <c r="G29" s="4">
        <f>E29*F29</f>
        <v>0</v>
      </c>
      <c r="H29" s="131">
        <v>0</v>
      </c>
      <c r="I29" s="131">
        <v>0</v>
      </c>
      <c r="J29" s="6">
        <f>H29+I29</f>
        <v>0</v>
      </c>
      <c r="K29" s="6">
        <f>F29*J29</f>
        <v>0</v>
      </c>
      <c r="L29" s="4">
        <f>SUMIF('Data input'!$D$3:$D$202,B29,$X$3:$X$202)</f>
        <v>0</v>
      </c>
      <c r="M29" s="4">
        <f>SUMIF('Data input'!$D$3:$D$202,B29,$AC$3:$AC$202)</f>
        <v>0</v>
      </c>
      <c r="N29" s="67">
        <f>SUMIF('Data input'!$D$3:$D$202,B29,$AD$3:$AD$202)</f>
        <v>0</v>
      </c>
      <c r="O29" s="30">
        <f>'Data input'!A29</f>
        <v>27</v>
      </c>
      <c r="P29" s="11">
        <f>'Data input'!G29*('Data input'!H29/1000)</f>
        <v>0</v>
      </c>
      <c r="Q29" s="11">
        <f>'Data input'!G29*('Data input'!H29/1000)*('Data input'!I29/1000)</f>
        <v>0</v>
      </c>
      <c r="R29" s="11">
        <f>'Data input'!G29*('Data input'!H29/1000)*('Data input'!I29/1000)*('Data input'!J29/1000)</f>
        <v>0</v>
      </c>
      <c r="S29" s="11" t="str">
        <f>IF(ISNA(VLOOKUP('Data input'!D29,$B$2:$C$200,2,FALSE)),"",VLOOKUP('Data input'!D29,$B$2:$C$200,2,FALSE))</f>
        <v/>
      </c>
      <c r="T29" s="11" t="str">
        <f>IF(S29="m3",Costs!R29,IF(S29="Each",'Data input'!G29,IF(S29="m",Costs!P29,IF(S29="m2",Costs!Q29,""))))</f>
        <v/>
      </c>
      <c r="U29" s="4" t="str">
        <f>IF(ISNA(VLOOKUP('Data input'!D29,$B$2:$J$200,9,FALSE)),"",VLOOKUP('Data input'!D29,$B$2:$J$200,9,FALSE))</f>
        <v/>
      </c>
      <c r="V29" s="4" t="e">
        <f t="shared" si="5"/>
        <v>#VALUE!</v>
      </c>
      <c r="W29">
        <f>'Data input'!M29</f>
        <v>0</v>
      </c>
      <c r="X29" s="4">
        <f t="shared" si="3"/>
        <v>0</v>
      </c>
      <c r="Y29" s="4" t="e">
        <f t="shared" si="6"/>
        <v>#VALUE!</v>
      </c>
      <c r="Z29" s="4" t="str">
        <f>IF(ISNA(VLOOKUP('Data input'!D29,$B$2:$E$200,4,FALSE)),"",VLOOKUP('Data input'!D29,$B$2:$E$200,4,FALSE))</f>
        <v/>
      </c>
      <c r="AA29" s="4" t="e">
        <f t="shared" si="4"/>
        <v>#VALUE!</v>
      </c>
      <c r="AB29">
        <f>'Data input'!N29</f>
        <v>0</v>
      </c>
      <c r="AC29">
        <f t="shared" si="7"/>
        <v>0</v>
      </c>
      <c r="AD29" s="4">
        <f t="shared" si="8"/>
        <v>0</v>
      </c>
      <c r="AE29" s="6">
        <f t="shared" si="9"/>
        <v>0</v>
      </c>
    </row>
    <row r="30" spans="1:31" x14ac:dyDescent="0.35">
      <c r="A30" s="95" t="str">
        <f>Lists!$A$38</f>
        <v>Other_Volume_cubic_meter</v>
      </c>
      <c r="B30" s="129" t="s">
        <v>373</v>
      </c>
      <c r="C30" s="22" t="s">
        <v>372</v>
      </c>
      <c r="E30" s="131">
        <v>0</v>
      </c>
      <c r="F30" s="14">
        <f>SUMIF('Data input'!D$3:D$202,B30,$R$3:$R$202)</f>
        <v>0</v>
      </c>
      <c r="G30" s="4">
        <f t="shared" ref="G30:G37" si="16">E30*F30</f>
        <v>0</v>
      </c>
      <c r="H30" s="131">
        <v>0</v>
      </c>
      <c r="I30" s="131">
        <v>0</v>
      </c>
      <c r="J30" s="6">
        <f t="shared" ref="J30:J37" si="17">H30+I30</f>
        <v>0</v>
      </c>
      <c r="K30" s="6">
        <f t="shared" ref="K30:K37" si="18">F30*J30</f>
        <v>0</v>
      </c>
      <c r="L30" s="4">
        <f>SUMIF('Data input'!$D$3:$D$202,B30,$X$3:$X$202)</f>
        <v>0</v>
      </c>
      <c r="M30" s="4">
        <f>SUMIF('Data input'!$D$3:$D$202,B30,$AC$3:$AC$202)</f>
        <v>0</v>
      </c>
      <c r="N30" s="67">
        <f>SUMIF('Data input'!$D$3:$D$202,B30,$AD$3:$AD$202)</f>
        <v>0</v>
      </c>
      <c r="O30" s="30">
        <f>'Data input'!A30</f>
        <v>28</v>
      </c>
      <c r="P30" s="11">
        <f>'Data input'!G30*('Data input'!H30/1000)</f>
        <v>0</v>
      </c>
      <c r="Q30" s="11">
        <f>'Data input'!G30*('Data input'!H30/1000)*('Data input'!I30/1000)</f>
        <v>0</v>
      </c>
      <c r="R30" s="11">
        <f>'Data input'!G30*('Data input'!H30/1000)*('Data input'!I30/1000)*('Data input'!J30/1000)</f>
        <v>0</v>
      </c>
      <c r="S30" s="11" t="str">
        <f>IF(ISNA(VLOOKUP('Data input'!D30,$B$2:$C$200,2,FALSE)),"",VLOOKUP('Data input'!D30,$B$2:$C$200,2,FALSE))</f>
        <v/>
      </c>
      <c r="T30" s="11" t="str">
        <f>IF(S30="m3",Costs!R30,IF(S30="Each",'Data input'!G30,IF(S30="m",Costs!P30,IF(S30="m2",Costs!Q30,""))))</f>
        <v/>
      </c>
      <c r="U30" s="4" t="str">
        <f>IF(ISNA(VLOOKUP('Data input'!D30,$B$2:$J$200,9,FALSE)),"",VLOOKUP('Data input'!D30,$B$2:$J$200,9,FALSE))</f>
        <v/>
      </c>
      <c r="V30" s="4" t="e">
        <f t="shared" si="5"/>
        <v>#VALUE!</v>
      </c>
      <c r="W30">
        <f>'Data input'!M30</f>
        <v>0</v>
      </c>
      <c r="X30" s="4">
        <f t="shared" si="3"/>
        <v>0</v>
      </c>
      <c r="Y30" s="4" t="e">
        <f t="shared" si="6"/>
        <v>#VALUE!</v>
      </c>
      <c r="Z30" s="4" t="str">
        <f>IF(ISNA(VLOOKUP('Data input'!D30,$B$2:$E$200,4,FALSE)),"",VLOOKUP('Data input'!D30,$B$2:$E$200,4,FALSE))</f>
        <v/>
      </c>
      <c r="AA30" s="4" t="e">
        <f t="shared" si="4"/>
        <v>#VALUE!</v>
      </c>
      <c r="AB30">
        <f>'Data input'!N30</f>
        <v>0</v>
      </c>
      <c r="AC30">
        <f t="shared" si="7"/>
        <v>0</v>
      </c>
      <c r="AD30" s="4">
        <f t="shared" si="8"/>
        <v>0</v>
      </c>
      <c r="AE30" s="6">
        <f t="shared" si="9"/>
        <v>0</v>
      </c>
    </row>
    <row r="31" spans="1:31" x14ac:dyDescent="0.35">
      <c r="A31" s="95" t="str">
        <f>Lists!$A$38</f>
        <v>Other_Volume_cubic_meter</v>
      </c>
      <c r="B31" s="129" t="s">
        <v>374</v>
      </c>
      <c r="C31" s="22" t="s">
        <v>372</v>
      </c>
      <c r="E31" s="131">
        <v>0</v>
      </c>
      <c r="F31" s="14">
        <f>SUMIF('Data input'!D$3:D$202,B31,$R$3:$R$202)</f>
        <v>0</v>
      </c>
      <c r="G31" s="4">
        <f t="shared" si="16"/>
        <v>0</v>
      </c>
      <c r="H31" s="131">
        <v>0</v>
      </c>
      <c r="I31" s="131">
        <v>0</v>
      </c>
      <c r="J31" s="6">
        <f t="shared" si="17"/>
        <v>0</v>
      </c>
      <c r="K31" s="6">
        <f t="shared" si="18"/>
        <v>0</v>
      </c>
      <c r="L31" s="4">
        <f>SUMIF('Data input'!$D$3:$D$202,B31,$X$3:$X$202)</f>
        <v>0</v>
      </c>
      <c r="M31" s="4">
        <f>SUMIF('Data input'!$D$3:$D$202,B31,$AC$3:$AC$202)</f>
        <v>0</v>
      </c>
      <c r="N31" s="67">
        <f>SUMIF('Data input'!$D$3:$D$202,B31,$AD$3:$AD$202)</f>
        <v>0</v>
      </c>
      <c r="O31" s="30">
        <f>'Data input'!A31</f>
        <v>29</v>
      </c>
      <c r="P31" s="11">
        <f>'Data input'!G31*('Data input'!H31/1000)</f>
        <v>0</v>
      </c>
      <c r="Q31" s="11">
        <f>'Data input'!G31*('Data input'!H31/1000)*('Data input'!I31/1000)</f>
        <v>0</v>
      </c>
      <c r="R31" s="11">
        <f>'Data input'!G31*('Data input'!H31/1000)*('Data input'!I31/1000)*('Data input'!J31/1000)</f>
        <v>0</v>
      </c>
      <c r="S31" s="11" t="str">
        <f>IF(ISNA(VLOOKUP('Data input'!D31,$B$2:$C$200,2,FALSE)),"",VLOOKUP('Data input'!D31,$B$2:$C$200,2,FALSE))</f>
        <v/>
      </c>
      <c r="T31" s="11" t="str">
        <f>IF(S31="m3",Costs!R31,IF(S31="Each",'Data input'!G31,IF(S31="m",Costs!P31,IF(S31="m2",Costs!Q31,""))))</f>
        <v/>
      </c>
      <c r="U31" s="4" t="str">
        <f>IF(ISNA(VLOOKUP('Data input'!D31,$B$2:$J$200,9,FALSE)),"",VLOOKUP('Data input'!D31,$B$2:$J$200,9,FALSE))</f>
        <v/>
      </c>
      <c r="V31" s="4" t="e">
        <f t="shared" si="5"/>
        <v>#VALUE!</v>
      </c>
      <c r="W31">
        <f>'Data input'!M31</f>
        <v>0</v>
      </c>
      <c r="X31" s="4">
        <f t="shared" si="3"/>
        <v>0</v>
      </c>
      <c r="Y31" s="4" t="e">
        <f t="shared" si="6"/>
        <v>#VALUE!</v>
      </c>
      <c r="Z31" s="4" t="str">
        <f>IF(ISNA(VLOOKUP('Data input'!D31,$B$2:$E$200,4,FALSE)),"",VLOOKUP('Data input'!D31,$B$2:$E$200,4,FALSE))</f>
        <v/>
      </c>
      <c r="AA31" s="4" t="e">
        <f t="shared" si="4"/>
        <v>#VALUE!</v>
      </c>
      <c r="AB31">
        <f>'Data input'!N31</f>
        <v>0</v>
      </c>
      <c r="AC31">
        <f t="shared" si="7"/>
        <v>0</v>
      </c>
      <c r="AD31" s="4">
        <f t="shared" si="8"/>
        <v>0</v>
      </c>
      <c r="AE31" s="6">
        <f t="shared" si="9"/>
        <v>0</v>
      </c>
    </row>
    <row r="32" spans="1:31" x14ac:dyDescent="0.35">
      <c r="A32" s="95" t="str">
        <f>Lists!$A$38</f>
        <v>Other_Volume_cubic_meter</v>
      </c>
      <c r="B32" s="129" t="s">
        <v>375</v>
      </c>
      <c r="C32" s="22" t="s">
        <v>372</v>
      </c>
      <c r="E32" s="131">
        <v>0</v>
      </c>
      <c r="F32" s="14">
        <f>SUMIF('Data input'!D$3:D$202,B32,$R$3:$R$202)</f>
        <v>0</v>
      </c>
      <c r="G32" s="4">
        <f t="shared" si="16"/>
        <v>0</v>
      </c>
      <c r="H32" s="131">
        <v>0</v>
      </c>
      <c r="I32" s="131">
        <v>0</v>
      </c>
      <c r="J32" s="6">
        <f t="shared" si="17"/>
        <v>0</v>
      </c>
      <c r="K32" s="6">
        <f t="shared" si="18"/>
        <v>0</v>
      </c>
      <c r="L32" s="4">
        <f>SUMIF('Data input'!$D$3:$D$202,B32,$X$3:$X$202)</f>
        <v>0</v>
      </c>
      <c r="M32" s="4">
        <f>SUMIF('Data input'!$D$3:$D$202,B32,$AC$3:$AC$202)</f>
        <v>0</v>
      </c>
      <c r="N32" s="67">
        <f>SUMIF('Data input'!$D$3:$D$202,B32,$AD$3:$AD$202)</f>
        <v>0</v>
      </c>
      <c r="O32" s="30">
        <f>'Data input'!A32</f>
        <v>30</v>
      </c>
      <c r="P32" s="11">
        <f>'Data input'!G32*('Data input'!H32/1000)</f>
        <v>0</v>
      </c>
      <c r="Q32" s="11">
        <f>'Data input'!G32*('Data input'!H32/1000)*('Data input'!I32/1000)</f>
        <v>0</v>
      </c>
      <c r="R32" s="11">
        <f>'Data input'!G32*('Data input'!H32/1000)*('Data input'!I32/1000)*('Data input'!J32/1000)</f>
        <v>0</v>
      </c>
      <c r="S32" s="11" t="str">
        <f>IF(ISNA(VLOOKUP('Data input'!D32,$B$2:$C$200,2,FALSE)),"",VLOOKUP('Data input'!D32,$B$2:$C$200,2,FALSE))</f>
        <v/>
      </c>
      <c r="T32" s="11" t="str">
        <f>IF(S32="m3",Costs!R32,IF(S32="Each",'Data input'!G32,IF(S32="m",Costs!P32,IF(S32="m2",Costs!Q32,""))))</f>
        <v/>
      </c>
      <c r="U32" s="4" t="str">
        <f>IF(ISNA(VLOOKUP('Data input'!D32,$B$2:$J$200,9,FALSE)),"",VLOOKUP('Data input'!D32,$B$2:$J$200,9,FALSE))</f>
        <v/>
      </c>
      <c r="V32" s="4" t="e">
        <f t="shared" si="5"/>
        <v>#VALUE!</v>
      </c>
      <c r="W32">
        <f>'Data input'!M32</f>
        <v>0</v>
      </c>
      <c r="X32" s="4">
        <f t="shared" si="3"/>
        <v>0</v>
      </c>
      <c r="Y32" s="4" t="e">
        <f t="shared" si="6"/>
        <v>#VALUE!</v>
      </c>
      <c r="Z32" s="4" t="str">
        <f>IF(ISNA(VLOOKUP('Data input'!D32,$B$2:$E$200,4,FALSE)),"",VLOOKUP('Data input'!D32,$B$2:$E$200,4,FALSE))</f>
        <v/>
      </c>
      <c r="AA32" s="4" t="e">
        <f t="shared" si="4"/>
        <v>#VALUE!</v>
      </c>
      <c r="AB32">
        <f>'Data input'!N32</f>
        <v>0</v>
      </c>
      <c r="AC32">
        <f t="shared" si="7"/>
        <v>0</v>
      </c>
      <c r="AD32" s="4">
        <f t="shared" si="8"/>
        <v>0</v>
      </c>
      <c r="AE32" s="6">
        <f t="shared" si="9"/>
        <v>0</v>
      </c>
    </row>
    <row r="33" spans="1:31" x14ac:dyDescent="0.35">
      <c r="A33" s="95" t="str">
        <f>Lists!$A$38</f>
        <v>Other_Volume_cubic_meter</v>
      </c>
      <c r="B33" s="129" t="s">
        <v>376</v>
      </c>
      <c r="C33" s="22" t="s">
        <v>372</v>
      </c>
      <c r="E33" s="131">
        <v>0</v>
      </c>
      <c r="F33" s="14">
        <f>SUMIF('Data input'!D$3:D$202,B33,$R$3:$R$202)</f>
        <v>0</v>
      </c>
      <c r="G33" s="4">
        <f t="shared" si="16"/>
        <v>0</v>
      </c>
      <c r="H33" s="131">
        <v>0</v>
      </c>
      <c r="I33" s="131">
        <v>0</v>
      </c>
      <c r="J33" s="6">
        <f t="shared" si="17"/>
        <v>0</v>
      </c>
      <c r="K33" s="6">
        <f t="shared" si="18"/>
        <v>0</v>
      </c>
      <c r="L33" s="4">
        <f>SUMIF('Data input'!$D$3:$D$202,B33,$X$3:$X$202)</f>
        <v>0</v>
      </c>
      <c r="M33" s="4">
        <f>SUMIF('Data input'!$D$3:$D$202,B33,$AC$3:$AC$202)</f>
        <v>0</v>
      </c>
      <c r="N33" s="67">
        <f>SUMIF('Data input'!$D$3:$D$202,B33,$AD$3:$AD$202)</f>
        <v>0</v>
      </c>
      <c r="O33" s="30">
        <f>'Data input'!A33</f>
        <v>31</v>
      </c>
      <c r="P33" s="11">
        <f>'Data input'!G33*('Data input'!H33/1000)</f>
        <v>0</v>
      </c>
      <c r="Q33" s="11">
        <f>'Data input'!G33*('Data input'!H33/1000)*('Data input'!I33/1000)</f>
        <v>0</v>
      </c>
      <c r="R33" s="11">
        <f>'Data input'!G33*('Data input'!H33/1000)*('Data input'!I33/1000)*('Data input'!J33/1000)</f>
        <v>0</v>
      </c>
      <c r="S33" s="11" t="str">
        <f>IF(ISNA(VLOOKUP('Data input'!D33,$B$2:$C$200,2,FALSE)),"",VLOOKUP('Data input'!D33,$B$2:$C$200,2,FALSE))</f>
        <v/>
      </c>
      <c r="T33" s="11" t="str">
        <f>IF(S33="m3",Costs!R33,IF(S33="Each",'Data input'!G33,IF(S33="m",Costs!P33,IF(S33="m2",Costs!Q33,""))))</f>
        <v/>
      </c>
      <c r="U33" s="4" t="str">
        <f>IF(ISNA(VLOOKUP('Data input'!D33,$B$2:$J$200,9,FALSE)),"",VLOOKUP('Data input'!D33,$B$2:$J$200,9,FALSE))</f>
        <v/>
      </c>
      <c r="V33" s="4" t="e">
        <f t="shared" si="5"/>
        <v>#VALUE!</v>
      </c>
      <c r="W33">
        <f>'Data input'!M33</f>
        <v>0</v>
      </c>
      <c r="X33" s="4">
        <f t="shared" si="3"/>
        <v>0</v>
      </c>
      <c r="Y33" s="4" t="e">
        <f t="shared" si="6"/>
        <v>#VALUE!</v>
      </c>
      <c r="Z33" s="4" t="str">
        <f>IF(ISNA(VLOOKUP('Data input'!D33,$B$2:$E$200,4,FALSE)),"",VLOOKUP('Data input'!D33,$B$2:$E$200,4,FALSE))</f>
        <v/>
      </c>
      <c r="AA33" s="4" t="e">
        <f t="shared" si="4"/>
        <v>#VALUE!</v>
      </c>
      <c r="AB33">
        <f>'Data input'!N33</f>
        <v>0</v>
      </c>
      <c r="AC33">
        <f t="shared" si="7"/>
        <v>0</v>
      </c>
      <c r="AD33" s="4">
        <f t="shared" si="8"/>
        <v>0</v>
      </c>
      <c r="AE33" s="6">
        <f t="shared" si="9"/>
        <v>0</v>
      </c>
    </row>
    <row r="34" spans="1:31" x14ac:dyDescent="0.35">
      <c r="A34" s="95" t="str">
        <f>Lists!$A$38</f>
        <v>Other_Volume_cubic_meter</v>
      </c>
      <c r="B34" s="129" t="s">
        <v>377</v>
      </c>
      <c r="C34" s="22" t="s">
        <v>372</v>
      </c>
      <c r="E34" s="131">
        <v>0</v>
      </c>
      <c r="F34" s="14">
        <f>SUMIF('Data input'!D$3:D$202,B34,$R$3:$R$202)</f>
        <v>0</v>
      </c>
      <c r="G34" s="4">
        <f t="shared" si="16"/>
        <v>0</v>
      </c>
      <c r="H34" s="131">
        <v>0</v>
      </c>
      <c r="I34" s="131">
        <v>0</v>
      </c>
      <c r="J34" s="6">
        <f t="shared" si="17"/>
        <v>0</v>
      </c>
      <c r="K34" s="6">
        <f t="shared" si="18"/>
        <v>0</v>
      </c>
      <c r="L34" s="4">
        <f>SUMIF('Data input'!$D$3:$D$202,B34,$X$3:$X$202)</f>
        <v>0</v>
      </c>
      <c r="M34" s="4">
        <f>SUMIF('Data input'!$D$3:$D$202,B34,$AC$3:$AC$202)</f>
        <v>0</v>
      </c>
      <c r="N34" s="67">
        <f>SUMIF('Data input'!$D$3:$D$202,B34,$AD$3:$AD$202)</f>
        <v>0</v>
      </c>
      <c r="O34" s="30">
        <f>'Data input'!A34</f>
        <v>32</v>
      </c>
      <c r="P34" s="11">
        <f>'Data input'!G34*('Data input'!H34/1000)</f>
        <v>0</v>
      </c>
      <c r="Q34" s="11">
        <f>'Data input'!G34*('Data input'!H34/1000)*('Data input'!I34/1000)</f>
        <v>0</v>
      </c>
      <c r="R34" s="11">
        <f>'Data input'!G34*('Data input'!H34/1000)*('Data input'!I34/1000)*('Data input'!J34/1000)</f>
        <v>0</v>
      </c>
      <c r="S34" s="11" t="str">
        <f>IF(ISNA(VLOOKUP('Data input'!D34,$B$2:$C$200,2,FALSE)),"",VLOOKUP('Data input'!D34,$B$2:$C$200,2,FALSE))</f>
        <v/>
      </c>
      <c r="T34" s="11" t="str">
        <f>IF(S34="m3",Costs!R34,IF(S34="Each",'Data input'!G34,IF(S34="m",Costs!P34,IF(S34="m2",Costs!Q34,""))))</f>
        <v/>
      </c>
      <c r="U34" s="4" t="str">
        <f>IF(ISNA(VLOOKUP('Data input'!D34,$B$2:$J$200,9,FALSE)),"",VLOOKUP('Data input'!D34,$B$2:$J$200,9,FALSE))</f>
        <v/>
      </c>
      <c r="V34" s="4" t="e">
        <f t="shared" si="5"/>
        <v>#VALUE!</v>
      </c>
      <c r="W34">
        <f>'Data input'!M34</f>
        <v>0</v>
      </c>
      <c r="X34" s="4">
        <f t="shared" si="3"/>
        <v>0</v>
      </c>
      <c r="Y34" s="4" t="e">
        <f t="shared" si="6"/>
        <v>#VALUE!</v>
      </c>
      <c r="Z34" s="4" t="str">
        <f>IF(ISNA(VLOOKUP('Data input'!D34,$B$2:$E$200,4,FALSE)),"",VLOOKUP('Data input'!D34,$B$2:$E$200,4,FALSE))</f>
        <v/>
      </c>
      <c r="AA34" s="4" t="e">
        <f t="shared" si="4"/>
        <v>#VALUE!</v>
      </c>
      <c r="AB34">
        <f>'Data input'!N34</f>
        <v>0</v>
      </c>
      <c r="AC34">
        <f t="shared" si="7"/>
        <v>0</v>
      </c>
      <c r="AD34" s="4">
        <f t="shared" si="8"/>
        <v>0</v>
      </c>
      <c r="AE34" s="6">
        <f t="shared" si="9"/>
        <v>0</v>
      </c>
    </row>
    <row r="35" spans="1:31" x14ac:dyDescent="0.35">
      <c r="A35" s="95" t="str">
        <f>Lists!$A$38</f>
        <v>Other_Volume_cubic_meter</v>
      </c>
      <c r="B35" s="129" t="s">
        <v>378</v>
      </c>
      <c r="C35" s="22" t="s">
        <v>372</v>
      </c>
      <c r="E35" s="131">
        <v>0</v>
      </c>
      <c r="F35" s="14">
        <f>SUMIF('Data input'!D$3:D$202,B35,$R$3:$R$202)</f>
        <v>0</v>
      </c>
      <c r="G35" s="4">
        <f t="shared" si="16"/>
        <v>0</v>
      </c>
      <c r="H35" s="131">
        <v>0</v>
      </c>
      <c r="I35" s="131">
        <v>0</v>
      </c>
      <c r="J35" s="6">
        <f t="shared" si="17"/>
        <v>0</v>
      </c>
      <c r="K35" s="6">
        <f t="shared" si="18"/>
        <v>0</v>
      </c>
      <c r="L35" s="4">
        <f>SUMIF('Data input'!$D$3:$D$202,B35,$X$3:$X$202)</f>
        <v>0</v>
      </c>
      <c r="M35" s="4">
        <f>SUMIF('Data input'!$D$3:$D$202,B35,$AC$3:$AC$202)</f>
        <v>0</v>
      </c>
      <c r="N35" s="67">
        <f>SUMIF('Data input'!$D$3:$D$202,B35,$AD$3:$AD$202)</f>
        <v>0</v>
      </c>
      <c r="O35" s="30">
        <f>'Data input'!A35</f>
        <v>33</v>
      </c>
      <c r="P35" s="11">
        <f>'Data input'!G35*('Data input'!H35/1000)</f>
        <v>0</v>
      </c>
      <c r="Q35" s="11">
        <f>'Data input'!G35*('Data input'!H35/1000)*('Data input'!I35/1000)</f>
        <v>0</v>
      </c>
      <c r="R35" s="11">
        <f>'Data input'!G35*('Data input'!H35/1000)*('Data input'!I35/1000)*('Data input'!J35/1000)</f>
        <v>0</v>
      </c>
      <c r="S35" s="11" t="str">
        <f>IF(ISNA(VLOOKUP('Data input'!D35,$B$2:$C$200,2,FALSE)),"",VLOOKUP('Data input'!D35,$B$2:$C$200,2,FALSE))</f>
        <v/>
      </c>
      <c r="T35" s="11" t="str">
        <f>IF(S35="m3",Costs!R35,IF(S35="Each",'Data input'!G35,IF(S35="m",Costs!P35,IF(S35="m2",Costs!Q35,""))))</f>
        <v/>
      </c>
      <c r="U35" s="4" t="str">
        <f>IF(ISNA(VLOOKUP('Data input'!D35,$B$2:$J$200,9,FALSE)),"",VLOOKUP('Data input'!D35,$B$2:$J$200,9,FALSE))</f>
        <v/>
      </c>
      <c r="V35" s="4" t="e">
        <f t="shared" si="5"/>
        <v>#VALUE!</v>
      </c>
      <c r="W35">
        <f>'Data input'!M35</f>
        <v>0</v>
      </c>
      <c r="X35" s="4">
        <f t="shared" ref="X35:X66" si="19">SUMIF(W35,"Yes",V35)</f>
        <v>0</v>
      </c>
      <c r="Y35" s="4" t="e">
        <f t="shared" si="6"/>
        <v>#VALUE!</v>
      </c>
      <c r="Z35" s="4" t="str">
        <f>IF(ISNA(VLOOKUP('Data input'!D35,$B$2:$E$200,4,FALSE)),"",VLOOKUP('Data input'!D35,$B$2:$E$200,4,FALSE))</f>
        <v/>
      </c>
      <c r="AA35" s="4" t="e">
        <f t="shared" ref="AA35:AA66" si="20">T35*Z35</f>
        <v>#VALUE!</v>
      </c>
      <c r="AB35">
        <f>'Data input'!N35</f>
        <v>0</v>
      </c>
      <c r="AC35">
        <f t="shared" si="7"/>
        <v>0</v>
      </c>
      <c r="AD35" s="4">
        <f t="shared" si="8"/>
        <v>0</v>
      </c>
      <c r="AE35" s="6">
        <f t="shared" si="9"/>
        <v>0</v>
      </c>
    </row>
    <row r="36" spans="1:31" x14ac:dyDescent="0.35">
      <c r="A36" s="95" t="str">
        <f>Lists!$A$38</f>
        <v>Other_Volume_cubic_meter</v>
      </c>
      <c r="B36" s="129" t="s">
        <v>379</v>
      </c>
      <c r="C36" s="22" t="s">
        <v>372</v>
      </c>
      <c r="E36" s="131">
        <v>0</v>
      </c>
      <c r="F36" s="14">
        <f>SUMIF('Data input'!D$3:D$202,B36,$R$3:$R$202)</f>
        <v>0</v>
      </c>
      <c r="G36" s="4">
        <f t="shared" si="16"/>
        <v>0</v>
      </c>
      <c r="H36" s="131">
        <v>0</v>
      </c>
      <c r="I36" s="131">
        <v>0</v>
      </c>
      <c r="J36" s="6">
        <f t="shared" si="17"/>
        <v>0</v>
      </c>
      <c r="K36" s="6">
        <f t="shared" si="18"/>
        <v>0</v>
      </c>
      <c r="L36" s="4">
        <f>SUMIF('Data input'!$D$3:$D$202,B36,$X$3:$X$202)</f>
        <v>0</v>
      </c>
      <c r="M36" s="4">
        <f>SUMIF('Data input'!$D$3:$D$202,B36,$AC$3:$AC$202)</f>
        <v>0</v>
      </c>
      <c r="N36" s="67">
        <f>SUMIF('Data input'!$D$3:$D$202,B36,$AD$3:$AD$202)</f>
        <v>0</v>
      </c>
      <c r="O36" s="30">
        <f>'Data input'!A36</f>
        <v>34</v>
      </c>
      <c r="P36" s="11">
        <f>'Data input'!G36*('Data input'!H36/1000)</f>
        <v>0</v>
      </c>
      <c r="Q36" s="11">
        <f>'Data input'!G36*('Data input'!H36/1000)*('Data input'!I36/1000)</f>
        <v>0</v>
      </c>
      <c r="R36" s="11">
        <f>'Data input'!G36*('Data input'!H36/1000)*('Data input'!I36/1000)*('Data input'!J36/1000)</f>
        <v>0</v>
      </c>
      <c r="S36" s="11" t="str">
        <f>IF(ISNA(VLOOKUP('Data input'!D36,$B$2:$C$200,2,FALSE)),"",VLOOKUP('Data input'!D36,$B$2:$C$200,2,FALSE))</f>
        <v/>
      </c>
      <c r="T36" s="11" t="str">
        <f>IF(S36="m3",Costs!R36,IF(S36="Each",'Data input'!G36,IF(S36="m",Costs!P36,IF(S36="m2",Costs!Q36,""))))</f>
        <v/>
      </c>
      <c r="U36" s="4" t="str">
        <f>IF(ISNA(VLOOKUP('Data input'!D36,$B$2:$J$200,9,FALSE)),"",VLOOKUP('Data input'!D36,$B$2:$J$200,9,FALSE))</f>
        <v/>
      </c>
      <c r="V36" s="4" t="e">
        <f t="shared" si="5"/>
        <v>#VALUE!</v>
      </c>
      <c r="W36">
        <f>'Data input'!M36</f>
        <v>0</v>
      </c>
      <c r="X36" s="4">
        <f t="shared" si="19"/>
        <v>0</v>
      </c>
      <c r="Y36" s="4" t="e">
        <f t="shared" si="6"/>
        <v>#VALUE!</v>
      </c>
      <c r="Z36" s="4" t="str">
        <f>IF(ISNA(VLOOKUP('Data input'!D36,$B$2:$E$200,4,FALSE)),"",VLOOKUP('Data input'!D36,$B$2:$E$200,4,FALSE))</f>
        <v/>
      </c>
      <c r="AA36" s="4" t="e">
        <f t="shared" si="20"/>
        <v>#VALUE!</v>
      </c>
      <c r="AB36">
        <f>'Data input'!N36</f>
        <v>0</v>
      </c>
      <c r="AC36">
        <f t="shared" si="7"/>
        <v>0</v>
      </c>
      <c r="AD36" s="4">
        <f t="shared" si="8"/>
        <v>0</v>
      </c>
      <c r="AE36" s="6">
        <f t="shared" si="9"/>
        <v>0</v>
      </c>
    </row>
    <row r="37" spans="1:31" x14ac:dyDescent="0.35">
      <c r="A37" s="95" t="str">
        <f>Lists!$A$38</f>
        <v>Other_Volume_cubic_meter</v>
      </c>
      <c r="B37" s="129" t="s">
        <v>380</v>
      </c>
      <c r="C37" s="22" t="s">
        <v>372</v>
      </c>
      <c r="E37" s="131">
        <v>0</v>
      </c>
      <c r="F37" s="14">
        <f>SUMIF('Data input'!D$3:D$202,B37,$R$3:$R$202)</f>
        <v>0</v>
      </c>
      <c r="G37" s="4">
        <f t="shared" si="16"/>
        <v>0</v>
      </c>
      <c r="H37" s="131">
        <v>0</v>
      </c>
      <c r="I37" s="131">
        <v>0</v>
      </c>
      <c r="J37" s="6">
        <f t="shared" si="17"/>
        <v>0</v>
      </c>
      <c r="K37" s="6">
        <f t="shared" si="18"/>
        <v>0</v>
      </c>
      <c r="L37" s="4">
        <f>SUMIF('Data input'!$D$3:$D$202,B37,$X$3:$X$202)</f>
        <v>0</v>
      </c>
      <c r="M37" s="4">
        <f>SUMIF('Data input'!$D$3:$D$202,B37,$AC$3:$AC$202)</f>
        <v>0</v>
      </c>
      <c r="N37" s="67">
        <f>SUMIF('Data input'!$D$3:$D$202,B37,$AD$3:$AD$202)</f>
        <v>0</v>
      </c>
      <c r="O37" s="30">
        <f>'Data input'!A37</f>
        <v>35</v>
      </c>
      <c r="P37" s="11">
        <f>'Data input'!G37*('Data input'!H37/1000)</f>
        <v>0</v>
      </c>
      <c r="Q37" s="11">
        <f>'Data input'!G37*('Data input'!H37/1000)*('Data input'!I37/1000)</f>
        <v>0</v>
      </c>
      <c r="R37" s="11">
        <f>'Data input'!G37*('Data input'!H37/1000)*('Data input'!I37/1000)*('Data input'!J37/1000)</f>
        <v>0</v>
      </c>
      <c r="S37" s="11" t="str">
        <f>IF(ISNA(VLOOKUP('Data input'!D37,$B$2:$C$200,2,FALSE)),"",VLOOKUP('Data input'!D37,$B$2:$C$200,2,FALSE))</f>
        <v/>
      </c>
      <c r="T37" s="11" t="str">
        <f>IF(S37="m3",Costs!R37,IF(S37="Each",'Data input'!G37,IF(S37="m",Costs!P37,IF(S37="m2",Costs!Q37,""))))</f>
        <v/>
      </c>
      <c r="U37" s="4" t="str">
        <f>IF(ISNA(VLOOKUP('Data input'!D37,$B$2:$J$200,9,FALSE)),"",VLOOKUP('Data input'!D37,$B$2:$J$200,9,FALSE))</f>
        <v/>
      </c>
      <c r="V37" s="4" t="e">
        <f t="shared" si="5"/>
        <v>#VALUE!</v>
      </c>
      <c r="W37">
        <f>'Data input'!M37</f>
        <v>0</v>
      </c>
      <c r="X37" s="4">
        <f t="shared" si="19"/>
        <v>0</v>
      </c>
      <c r="Y37" s="4" t="e">
        <f t="shared" si="6"/>
        <v>#VALUE!</v>
      </c>
      <c r="Z37" s="4" t="str">
        <f>IF(ISNA(VLOOKUP('Data input'!D37,$B$2:$E$200,4,FALSE)),"",VLOOKUP('Data input'!D37,$B$2:$E$200,4,FALSE))</f>
        <v/>
      </c>
      <c r="AA37" s="4" t="e">
        <f t="shared" si="20"/>
        <v>#VALUE!</v>
      </c>
      <c r="AB37">
        <f>'Data input'!N37</f>
        <v>0</v>
      </c>
      <c r="AC37">
        <f t="shared" si="7"/>
        <v>0</v>
      </c>
      <c r="AD37" s="4">
        <f t="shared" si="8"/>
        <v>0</v>
      </c>
      <c r="AE37" s="6">
        <f t="shared" si="9"/>
        <v>0</v>
      </c>
    </row>
    <row r="38" spans="1:31" x14ac:dyDescent="0.35">
      <c r="A38" s="129" t="s">
        <v>284</v>
      </c>
      <c r="B38" s="129"/>
      <c r="C38" s="133"/>
      <c r="E38" s="132"/>
      <c r="F38" s="134"/>
      <c r="G38" s="132"/>
      <c r="H38" s="132"/>
      <c r="I38" s="132"/>
      <c r="J38" s="129"/>
      <c r="K38" s="129"/>
      <c r="L38" s="129"/>
      <c r="M38" s="129"/>
      <c r="N38" s="135"/>
      <c r="O38" s="30">
        <f>'Data input'!A38</f>
        <v>36</v>
      </c>
      <c r="P38" s="11">
        <f>'Data input'!G38*('Data input'!H38/1000)</f>
        <v>0</v>
      </c>
      <c r="Q38" s="11">
        <f>'Data input'!G38*('Data input'!H38/1000)*('Data input'!I38/1000)</f>
        <v>0</v>
      </c>
      <c r="R38" s="11">
        <f>'Data input'!G38*('Data input'!H38/1000)*('Data input'!I38/1000)*('Data input'!J38/1000)</f>
        <v>0</v>
      </c>
      <c r="S38" s="11" t="str">
        <f>IF(ISNA(VLOOKUP('Data input'!D38,$B$2:$C$200,2,FALSE)),"",VLOOKUP('Data input'!D38,$B$2:$C$200,2,FALSE))</f>
        <v/>
      </c>
      <c r="T38" s="11" t="str">
        <f>IF(S38="m3",Costs!R38,IF(S38="Each",'Data input'!G38,IF(S38="m",Costs!P38,IF(S38="m2",Costs!Q38,""))))</f>
        <v/>
      </c>
      <c r="U38" s="4" t="str">
        <f>IF(ISNA(VLOOKUP('Data input'!D38,$B$2:$J$200,9,FALSE)),"",VLOOKUP('Data input'!D38,$B$2:$J$200,9,FALSE))</f>
        <v/>
      </c>
      <c r="V38" s="4" t="e">
        <f t="shared" si="5"/>
        <v>#VALUE!</v>
      </c>
      <c r="W38">
        <f>'Data input'!M38</f>
        <v>0</v>
      </c>
      <c r="X38" s="4">
        <f t="shared" si="19"/>
        <v>0</v>
      </c>
      <c r="Y38" s="4" t="e">
        <f t="shared" si="6"/>
        <v>#VALUE!</v>
      </c>
      <c r="Z38" s="4" t="str">
        <f>IF(ISNA(VLOOKUP('Data input'!D38,$B$2:$E$200,4,FALSE)),"",VLOOKUP('Data input'!D38,$B$2:$E$200,4,FALSE))</f>
        <v/>
      </c>
      <c r="AA38" s="4" t="e">
        <f t="shared" si="20"/>
        <v>#VALUE!</v>
      </c>
      <c r="AB38">
        <f>'Data input'!N38</f>
        <v>0</v>
      </c>
      <c r="AC38">
        <f t="shared" si="7"/>
        <v>0</v>
      </c>
      <c r="AD38" s="4">
        <f t="shared" si="8"/>
        <v>0</v>
      </c>
      <c r="AE38" s="6">
        <f t="shared" si="9"/>
        <v>0</v>
      </c>
    </row>
    <row r="39" spans="1:31" x14ac:dyDescent="0.35">
      <c r="A39" s="129" t="s">
        <v>285</v>
      </c>
      <c r="B39" s="129"/>
      <c r="C39" s="133"/>
      <c r="E39" s="132"/>
      <c r="F39" s="134"/>
      <c r="G39" s="132"/>
      <c r="H39" s="132"/>
      <c r="I39" s="132"/>
      <c r="J39" s="129"/>
      <c r="K39" s="129"/>
      <c r="L39" s="129"/>
      <c r="M39" s="129"/>
      <c r="N39" s="135"/>
      <c r="O39" s="30">
        <f>'Data input'!A39</f>
        <v>37</v>
      </c>
      <c r="P39" s="11">
        <f>'Data input'!G39*('Data input'!H39/1000)</f>
        <v>0</v>
      </c>
      <c r="Q39" s="11">
        <f>'Data input'!G39*('Data input'!H39/1000)*('Data input'!I39/1000)</f>
        <v>0</v>
      </c>
      <c r="R39" s="11">
        <f>'Data input'!G39*('Data input'!H39/1000)*('Data input'!I39/1000)*('Data input'!J39/1000)</f>
        <v>0</v>
      </c>
      <c r="S39" s="11" t="str">
        <f>IF(ISNA(VLOOKUP('Data input'!D39,$B$2:$C$200,2,FALSE)),"",VLOOKUP('Data input'!D39,$B$2:$C$200,2,FALSE))</f>
        <v/>
      </c>
      <c r="T39" s="11" t="str">
        <f>IF(S39="m3",Costs!R39,IF(S39="Each",'Data input'!G39,IF(S39="m",Costs!P39,IF(S39="m2",Costs!Q39,""))))</f>
        <v/>
      </c>
      <c r="U39" s="4" t="str">
        <f>IF(ISNA(VLOOKUP('Data input'!D39,$B$2:$J$200,9,FALSE)),"",VLOOKUP('Data input'!D39,$B$2:$J$200,9,FALSE))</f>
        <v/>
      </c>
      <c r="V39" s="4" t="e">
        <f t="shared" si="5"/>
        <v>#VALUE!</v>
      </c>
      <c r="W39">
        <f>'Data input'!M39</f>
        <v>0</v>
      </c>
      <c r="X39" s="4">
        <f t="shared" si="19"/>
        <v>0</v>
      </c>
      <c r="Y39" s="4" t="e">
        <f t="shared" si="6"/>
        <v>#VALUE!</v>
      </c>
      <c r="Z39" s="4" t="str">
        <f>IF(ISNA(VLOOKUP('Data input'!D39,$B$2:$E$200,4,FALSE)),"",VLOOKUP('Data input'!D39,$B$2:$E$200,4,FALSE))</f>
        <v/>
      </c>
      <c r="AA39" s="4" t="e">
        <f t="shared" si="20"/>
        <v>#VALUE!</v>
      </c>
      <c r="AB39">
        <f>'Data input'!N39</f>
        <v>0</v>
      </c>
      <c r="AC39">
        <f t="shared" si="7"/>
        <v>0</v>
      </c>
      <c r="AD39" s="4">
        <f t="shared" si="8"/>
        <v>0</v>
      </c>
      <c r="AE39" s="6">
        <f t="shared" si="9"/>
        <v>0</v>
      </c>
    </row>
    <row r="40" spans="1:31" x14ac:dyDescent="0.35">
      <c r="A40" s="129" t="s">
        <v>286</v>
      </c>
      <c r="B40" s="129"/>
      <c r="C40" s="133"/>
      <c r="E40" s="132"/>
      <c r="F40" s="134"/>
      <c r="G40" s="132"/>
      <c r="H40" s="132"/>
      <c r="I40" s="132"/>
      <c r="J40" s="129"/>
      <c r="K40" s="129"/>
      <c r="L40" s="129"/>
      <c r="M40" s="129"/>
      <c r="N40" s="135"/>
      <c r="O40" s="30">
        <f>'Data input'!A40</f>
        <v>38</v>
      </c>
      <c r="P40" s="11">
        <f>'Data input'!G40*('Data input'!H40/1000)</f>
        <v>0</v>
      </c>
      <c r="Q40" s="11">
        <f>'Data input'!G40*('Data input'!H40/1000)*('Data input'!I40/1000)</f>
        <v>0</v>
      </c>
      <c r="R40" s="11">
        <f>'Data input'!G40*('Data input'!H40/1000)*('Data input'!I40/1000)*('Data input'!J40/1000)</f>
        <v>0</v>
      </c>
      <c r="S40" s="11" t="str">
        <f>IF(ISNA(VLOOKUP('Data input'!D40,$B$2:$C$200,2,FALSE)),"",VLOOKUP('Data input'!D40,$B$2:$C$200,2,FALSE))</f>
        <v/>
      </c>
      <c r="T40" s="11" t="str">
        <f>IF(S40="m3",Costs!R40,IF(S40="Each",'Data input'!G40,IF(S40="m",Costs!P40,IF(S40="m2",Costs!Q40,""))))</f>
        <v/>
      </c>
      <c r="U40" s="4" t="str">
        <f>IF(ISNA(VLOOKUP('Data input'!D40,$B$2:$J$200,9,FALSE)),"",VLOOKUP('Data input'!D40,$B$2:$J$200,9,FALSE))</f>
        <v/>
      </c>
      <c r="V40" s="4" t="e">
        <f t="shared" si="5"/>
        <v>#VALUE!</v>
      </c>
      <c r="W40">
        <f>'Data input'!M40</f>
        <v>0</v>
      </c>
      <c r="X40" s="4">
        <f t="shared" si="19"/>
        <v>0</v>
      </c>
      <c r="Y40" s="4" t="e">
        <f t="shared" si="6"/>
        <v>#VALUE!</v>
      </c>
      <c r="Z40" s="4" t="str">
        <f>IF(ISNA(VLOOKUP('Data input'!D40,$B$2:$E$200,4,FALSE)),"",VLOOKUP('Data input'!D40,$B$2:$E$200,4,FALSE))</f>
        <v/>
      </c>
      <c r="AA40" s="4" t="e">
        <f t="shared" si="20"/>
        <v>#VALUE!</v>
      </c>
      <c r="AB40">
        <f>'Data input'!N40</f>
        <v>0</v>
      </c>
      <c r="AC40">
        <f t="shared" si="7"/>
        <v>0</v>
      </c>
      <c r="AD40" s="4">
        <f t="shared" si="8"/>
        <v>0</v>
      </c>
      <c r="AE40" s="6">
        <f t="shared" si="9"/>
        <v>0</v>
      </c>
    </row>
    <row r="41" spans="1:31" x14ac:dyDescent="0.35">
      <c r="A41" s="129" t="s">
        <v>287</v>
      </c>
      <c r="B41" s="129"/>
      <c r="C41" s="133"/>
      <c r="E41" s="132"/>
      <c r="F41" s="134"/>
      <c r="G41" s="132"/>
      <c r="H41" s="132"/>
      <c r="I41" s="132"/>
      <c r="J41" s="129"/>
      <c r="K41" s="129"/>
      <c r="L41" s="129"/>
      <c r="M41" s="129"/>
      <c r="N41" s="135"/>
      <c r="O41" s="30">
        <f>'Data input'!A41</f>
        <v>39</v>
      </c>
      <c r="P41" s="11">
        <f>'Data input'!G41*('Data input'!H41/1000)</f>
        <v>0</v>
      </c>
      <c r="Q41" s="11">
        <f>'Data input'!G41*('Data input'!H41/1000)*('Data input'!I41/1000)</f>
        <v>0</v>
      </c>
      <c r="R41" s="11">
        <f>'Data input'!G41*('Data input'!H41/1000)*('Data input'!I41/1000)*('Data input'!J41/1000)</f>
        <v>0</v>
      </c>
      <c r="S41" s="11" t="str">
        <f>IF(ISNA(VLOOKUP('Data input'!D41,$B$2:$C$200,2,FALSE)),"",VLOOKUP('Data input'!D41,$B$2:$C$200,2,FALSE))</f>
        <v/>
      </c>
      <c r="T41" s="11" t="str">
        <f>IF(S41="m3",Costs!R41,IF(S41="Each",'Data input'!G41,IF(S41="m",Costs!P41,IF(S41="m2",Costs!Q41,""))))</f>
        <v/>
      </c>
      <c r="U41" s="4" t="str">
        <f>IF(ISNA(VLOOKUP('Data input'!D41,$B$2:$J$200,9,FALSE)),"",VLOOKUP('Data input'!D41,$B$2:$J$200,9,FALSE))</f>
        <v/>
      </c>
      <c r="V41" s="4" t="e">
        <f t="shared" si="5"/>
        <v>#VALUE!</v>
      </c>
      <c r="W41">
        <f>'Data input'!M41</f>
        <v>0</v>
      </c>
      <c r="X41" s="4">
        <f t="shared" si="19"/>
        <v>0</v>
      </c>
      <c r="Y41" s="4" t="e">
        <f t="shared" si="6"/>
        <v>#VALUE!</v>
      </c>
      <c r="Z41" s="4" t="str">
        <f>IF(ISNA(VLOOKUP('Data input'!D41,$B$2:$E$200,4,FALSE)),"",VLOOKUP('Data input'!D41,$B$2:$E$200,4,FALSE))</f>
        <v/>
      </c>
      <c r="AA41" s="4" t="e">
        <f t="shared" si="20"/>
        <v>#VALUE!</v>
      </c>
      <c r="AB41">
        <f>'Data input'!N41</f>
        <v>0</v>
      </c>
      <c r="AC41">
        <f t="shared" si="7"/>
        <v>0</v>
      </c>
      <c r="AD41" s="4">
        <f t="shared" si="8"/>
        <v>0</v>
      </c>
      <c r="AE41" s="6">
        <f t="shared" si="9"/>
        <v>0</v>
      </c>
    </row>
    <row r="42" spans="1:31" x14ac:dyDescent="0.35">
      <c r="A42" s="129" t="s">
        <v>288</v>
      </c>
      <c r="B42" s="129"/>
      <c r="C42" s="133"/>
      <c r="E42" s="132"/>
      <c r="F42" s="134"/>
      <c r="G42" s="132"/>
      <c r="H42" s="132"/>
      <c r="I42" s="132"/>
      <c r="J42" s="129"/>
      <c r="K42" s="129"/>
      <c r="L42" s="129"/>
      <c r="M42" s="129"/>
      <c r="N42" s="135"/>
      <c r="O42" s="30">
        <f>'Data input'!A42</f>
        <v>40</v>
      </c>
      <c r="P42" s="11">
        <f>'Data input'!G42*('Data input'!H42/1000)</f>
        <v>0</v>
      </c>
      <c r="Q42" s="11">
        <f>'Data input'!G42*('Data input'!H42/1000)*('Data input'!I42/1000)</f>
        <v>0</v>
      </c>
      <c r="R42" s="11">
        <f>'Data input'!G42*('Data input'!H42/1000)*('Data input'!I42/1000)*('Data input'!J42/1000)</f>
        <v>0</v>
      </c>
      <c r="S42" s="11" t="str">
        <f>IF(ISNA(VLOOKUP('Data input'!D42,$B$2:$C$200,2,FALSE)),"",VLOOKUP('Data input'!D42,$B$2:$C$200,2,FALSE))</f>
        <v/>
      </c>
      <c r="T42" s="11" t="str">
        <f>IF(S42="m3",Costs!R42,IF(S42="Each",'Data input'!G42,IF(S42="m",Costs!P42,IF(S42="m2",Costs!Q42,""))))</f>
        <v/>
      </c>
      <c r="U42" s="4" t="str">
        <f>IF(ISNA(VLOOKUP('Data input'!D42,$B$2:$J$200,9,FALSE)),"",VLOOKUP('Data input'!D42,$B$2:$J$200,9,FALSE))</f>
        <v/>
      </c>
      <c r="V42" s="4" t="e">
        <f t="shared" si="5"/>
        <v>#VALUE!</v>
      </c>
      <c r="W42">
        <f>'Data input'!M42</f>
        <v>0</v>
      </c>
      <c r="X42" s="4">
        <f t="shared" si="19"/>
        <v>0</v>
      </c>
      <c r="Y42" s="4" t="e">
        <f t="shared" si="6"/>
        <v>#VALUE!</v>
      </c>
      <c r="Z42" s="4" t="str">
        <f>IF(ISNA(VLOOKUP('Data input'!D42,$B$2:$E$200,4,FALSE)),"",VLOOKUP('Data input'!D42,$B$2:$E$200,4,FALSE))</f>
        <v/>
      </c>
      <c r="AA42" s="4" t="e">
        <f t="shared" si="20"/>
        <v>#VALUE!</v>
      </c>
      <c r="AB42">
        <f>'Data input'!N42</f>
        <v>0</v>
      </c>
      <c r="AC42">
        <f t="shared" si="7"/>
        <v>0</v>
      </c>
      <c r="AD42" s="4">
        <f t="shared" si="8"/>
        <v>0</v>
      </c>
      <c r="AE42" s="6">
        <f t="shared" si="9"/>
        <v>0</v>
      </c>
    </row>
    <row r="43" spans="1:31" x14ac:dyDescent="0.35">
      <c r="A43" s="129" t="s">
        <v>289</v>
      </c>
      <c r="B43" s="129"/>
      <c r="C43" s="133"/>
      <c r="E43" s="132"/>
      <c r="F43" s="134"/>
      <c r="G43" s="132"/>
      <c r="H43" s="132"/>
      <c r="I43" s="132"/>
      <c r="J43" s="129"/>
      <c r="K43" s="129"/>
      <c r="L43" s="129"/>
      <c r="M43" s="129"/>
      <c r="N43" s="135"/>
      <c r="O43" s="30">
        <f>'Data input'!A43</f>
        <v>41</v>
      </c>
      <c r="P43" s="11">
        <f>'Data input'!G43*('Data input'!H43/1000)</f>
        <v>0</v>
      </c>
      <c r="Q43" s="11">
        <f>'Data input'!G43*('Data input'!H43/1000)*('Data input'!I43/1000)</f>
        <v>0</v>
      </c>
      <c r="R43" s="11">
        <f>'Data input'!G43*('Data input'!H43/1000)*('Data input'!I43/1000)*('Data input'!J43/1000)</f>
        <v>0</v>
      </c>
      <c r="S43" s="11" t="str">
        <f>IF(ISNA(VLOOKUP('Data input'!D43,$B$2:$C$200,2,FALSE)),"",VLOOKUP('Data input'!D43,$B$2:$C$200,2,FALSE))</f>
        <v/>
      </c>
      <c r="T43" s="11" t="str">
        <f>IF(S43="m3",Costs!R43,IF(S43="Each",'Data input'!G43,IF(S43="m",Costs!P43,IF(S43="m2",Costs!Q43,""))))</f>
        <v/>
      </c>
      <c r="U43" s="4" t="str">
        <f>IF(ISNA(VLOOKUP('Data input'!D43,$B$2:$J$200,9,FALSE)),"",VLOOKUP('Data input'!D43,$B$2:$J$200,9,FALSE))</f>
        <v/>
      </c>
      <c r="V43" s="4" t="e">
        <f t="shared" si="5"/>
        <v>#VALUE!</v>
      </c>
      <c r="W43">
        <f>'Data input'!M43</f>
        <v>0</v>
      </c>
      <c r="X43" s="4">
        <f t="shared" si="19"/>
        <v>0</v>
      </c>
      <c r="Y43" s="4" t="e">
        <f t="shared" si="6"/>
        <v>#VALUE!</v>
      </c>
      <c r="Z43" s="4" t="str">
        <f>IF(ISNA(VLOOKUP('Data input'!D43,$B$2:$E$200,4,FALSE)),"",VLOOKUP('Data input'!D43,$B$2:$E$200,4,FALSE))</f>
        <v/>
      </c>
      <c r="AA43" s="4" t="e">
        <f t="shared" si="20"/>
        <v>#VALUE!</v>
      </c>
      <c r="AB43">
        <f>'Data input'!N43</f>
        <v>0</v>
      </c>
      <c r="AC43">
        <f t="shared" si="7"/>
        <v>0</v>
      </c>
      <c r="AD43" s="4">
        <f t="shared" si="8"/>
        <v>0</v>
      </c>
      <c r="AE43" s="6">
        <f t="shared" si="9"/>
        <v>0</v>
      </c>
    </row>
    <row r="44" spans="1:31" x14ac:dyDescent="0.35">
      <c r="A44" s="129" t="s">
        <v>290</v>
      </c>
      <c r="B44" s="129"/>
      <c r="C44" s="133"/>
      <c r="E44" s="132"/>
      <c r="F44" s="134"/>
      <c r="G44" s="132"/>
      <c r="H44" s="132"/>
      <c r="I44" s="132"/>
      <c r="J44" s="129"/>
      <c r="K44" s="129"/>
      <c r="L44" s="129"/>
      <c r="M44" s="129"/>
      <c r="N44" s="135"/>
      <c r="O44" s="30">
        <f>'Data input'!A44</f>
        <v>42</v>
      </c>
      <c r="P44" s="11">
        <f>'Data input'!G44*('Data input'!H44/1000)</f>
        <v>0</v>
      </c>
      <c r="Q44" s="11">
        <f>'Data input'!G44*('Data input'!H44/1000)*('Data input'!I44/1000)</f>
        <v>0</v>
      </c>
      <c r="R44" s="11">
        <f>'Data input'!G44*('Data input'!H44/1000)*('Data input'!I44/1000)*('Data input'!J44/1000)</f>
        <v>0</v>
      </c>
      <c r="S44" s="11" t="str">
        <f>IF(ISNA(VLOOKUP('Data input'!D44,$B$2:$C$200,2,FALSE)),"",VLOOKUP('Data input'!D44,$B$2:$C$200,2,FALSE))</f>
        <v/>
      </c>
      <c r="T44" s="11" t="str">
        <f>IF(S44="m3",Costs!R44,IF(S44="Each",'Data input'!G44,IF(S44="m",Costs!P44,IF(S44="m2",Costs!Q44,""))))</f>
        <v/>
      </c>
      <c r="U44" s="4" t="str">
        <f>IF(ISNA(VLOOKUP('Data input'!D44,$B$2:$J$200,9,FALSE)),"",VLOOKUP('Data input'!D44,$B$2:$J$200,9,FALSE))</f>
        <v/>
      </c>
      <c r="V44" s="4" t="e">
        <f t="shared" si="5"/>
        <v>#VALUE!</v>
      </c>
      <c r="W44">
        <f>'Data input'!M44</f>
        <v>0</v>
      </c>
      <c r="X44" s="4">
        <f t="shared" si="19"/>
        <v>0</v>
      </c>
      <c r="Y44" s="4" t="e">
        <f t="shared" si="6"/>
        <v>#VALUE!</v>
      </c>
      <c r="Z44" s="4" t="str">
        <f>IF(ISNA(VLOOKUP('Data input'!D44,$B$2:$E$200,4,FALSE)),"",VLOOKUP('Data input'!D44,$B$2:$E$200,4,FALSE))</f>
        <v/>
      </c>
      <c r="AA44" s="4" t="e">
        <f t="shared" si="20"/>
        <v>#VALUE!</v>
      </c>
      <c r="AB44">
        <f>'Data input'!N44</f>
        <v>0</v>
      </c>
      <c r="AC44">
        <f t="shared" si="7"/>
        <v>0</v>
      </c>
      <c r="AD44" s="4">
        <f t="shared" si="8"/>
        <v>0</v>
      </c>
      <c r="AE44" s="6">
        <f t="shared" si="9"/>
        <v>0</v>
      </c>
    </row>
    <row r="45" spans="1:31" x14ac:dyDescent="0.35">
      <c r="A45" s="129" t="s">
        <v>291</v>
      </c>
      <c r="B45" s="129"/>
      <c r="C45" s="133"/>
      <c r="E45" s="132"/>
      <c r="F45" s="134"/>
      <c r="G45" s="132"/>
      <c r="H45" s="132"/>
      <c r="I45" s="132"/>
      <c r="J45" s="129"/>
      <c r="K45" s="129"/>
      <c r="L45" s="129"/>
      <c r="M45" s="129"/>
      <c r="N45" s="135"/>
      <c r="O45" s="30">
        <f>'Data input'!A45</f>
        <v>43</v>
      </c>
      <c r="P45" s="11">
        <f>'Data input'!G45*('Data input'!H45/1000)</f>
        <v>0</v>
      </c>
      <c r="Q45" s="11">
        <f>'Data input'!G45*('Data input'!H45/1000)*('Data input'!I45/1000)</f>
        <v>0</v>
      </c>
      <c r="R45" s="11">
        <f>'Data input'!G45*('Data input'!H45/1000)*('Data input'!I45/1000)*('Data input'!J45/1000)</f>
        <v>0</v>
      </c>
      <c r="S45" s="11" t="str">
        <f>IF(ISNA(VLOOKUP('Data input'!D45,$B$2:$C$200,2,FALSE)),"",VLOOKUP('Data input'!D45,$B$2:$C$200,2,FALSE))</f>
        <v/>
      </c>
      <c r="T45" s="11" t="str">
        <f>IF(S45="m3",Costs!R45,IF(S45="Each",'Data input'!G45,IF(S45="m",Costs!P45,IF(S45="m2",Costs!Q45,""))))</f>
        <v/>
      </c>
      <c r="U45" s="4" t="str">
        <f>IF(ISNA(VLOOKUP('Data input'!D45,$B$2:$J$200,9,FALSE)),"",VLOOKUP('Data input'!D45,$B$2:$J$200,9,FALSE))</f>
        <v/>
      </c>
      <c r="V45" s="4" t="e">
        <f t="shared" si="5"/>
        <v>#VALUE!</v>
      </c>
      <c r="W45">
        <f>'Data input'!M45</f>
        <v>0</v>
      </c>
      <c r="X45" s="4">
        <f t="shared" si="19"/>
        <v>0</v>
      </c>
      <c r="Y45" s="4" t="e">
        <f t="shared" si="6"/>
        <v>#VALUE!</v>
      </c>
      <c r="Z45" s="4" t="str">
        <f>IF(ISNA(VLOOKUP('Data input'!D45,$B$2:$E$200,4,FALSE)),"",VLOOKUP('Data input'!D45,$B$2:$E$200,4,FALSE))</f>
        <v/>
      </c>
      <c r="AA45" s="4" t="e">
        <f t="shared" si="20"/>
        <v>#VALUE!</v>
      </c>
      <c r="AB45">
        <f>'Data input'!N45</f>
        <v>0</v>
      </c>
      <c r="AC45">
        <f t="shared" si="7"/>
        <v>0</v>
      </c>
      <c r="AD45" s="4">
        <f t="shared" si="8"/>
        <v>0</v>
      </c>
      <c r="AE45" s="6">
        <f t="shared" si="9"/>
        <v>0</v>
      </c>
    </row>
    <row r="46" spans="1:31" x14ac:dyDescent="0.35">
      <c r="A46" s="129" t="s">
        <v>292</v>
      </c>
      <c r="B46" s="129"/>
      <c r="C46" s="133"/>
      <c r="E46" s="132"/>
      <c r="F46" s="134"/>
      <c r="G46" s="132"/>
      <c r="H46" s="132"/>
      <c r="I46" s="132"/>
      <c r="J46" s="129"/>
      <c r="K46" s="129"/>
      <c r="L46" s="129"/>
      <c r="M46" s="129"/>
      <c r="N46" s="135"/>
      <c r="O46" s="30">
        <f>'Data input'!A46</f>
        <v>44</v>
      </c>
      <c r="P46" s="11">
        <f>'Data input'!G46*('Data input'!H46/1000)</f>
        <v>0</v>
      </c>
      <c r="Q46" s="11">
        <f>'Data input'!G46*('Data input'!H46/1000)*('Data input'!I46/1000)</f>
        <v>0</v>
      </c>
      <c r="R46" s="11">
        <f>'Data input'!G46*('Data input'!H46/1000)*('Data input'!I46/1000)*('Data input'!J46/1000)</f>
        <v>0</v>
      </c>
      <c r="S46" s="11" t="str">
        <f>IF(ISNA(VLOOKUP('Data input'!D46,$B$2:$C$200,2,FALSE)),"",VLOOKUP('Data input'!D46,$B$2:$C$200,2,FALSE))</f>
        <v/>
      </c>
      <c r="T46" s="11" t="str">
        <f>IF(S46="m3",Costs!R46,IF(S46="Each",'Data input'!G46,IF(S46="m",Costs!P46,IF(S46="m2",Costs!Q46,""))))</f>
        <v/>
      </c>
      <c r="U46" s="4" t="str">
        <f>IF(ISNA(VLOOKUP('Data input'!D46,$B$2:$J$200,9,FALSE)),"",VLOOKUP('Data input'!D46,$B$2:$J$200,9,FALSE))</f>
        <v/>
      </c>
      <c r="V46" s="4" t="e">
        <f t="shared" si="5"/>
        <v>#VALUE!</v>
      </c>
      <c r="W46">
        <f>'Data input'!M46</f>
        <v>0</v>
      </c>
      <c r="X46" s="4">
        <f t="shared" si="19"/>
        <v>0</v>
      </c>
      <c r="Y46" s="4" t="e">
        <f t="shared" si="6"/>
        <v>#VALUE!</v>
      </c>
      <c r="Z46" s="4" t="str">
        <f>IF(ISNA(VLOOKUP('Data input'!D46,$B$2:$E$200,4,FALSE)),"",VLOOKUP('Data input'!D46,$B$2:$E$200,4,FALSE))</f>
        <v/>
      </c>
      <c r="AA46" s="4" t="e">
        <f t="shared" si="20"/>
        <v>#VALUE!</v>
      </c>
      <c r="AB46">
        <f>'Data input'!N46</f>
        <v>0</v>
      </c>
      <c r="AC46">
        <f t="shared" si="7"/>
        <v>0</v>
      </c>
      <c r="AD46" s="4">
        <f t="shared" si="8"/>
        <v>0</v>
      </c>
      <c r="AE46" s="6">
        <f t="shared" si="9"/>
        <v>0</v>
      </c>
    </row>
    <row r="47" spans="1:31" x14ac:dyDescent="0.35">
      <c r="A47" s="129" t="s">
        <v>293</v>
      </c>
      <c r="B47" s="129"/>
      <c r="C47" s="133"/>
      <c r="E47" s="132"/>
      <c r="F47" s="134"/>
      <c r="G47" s="132"/>
      <c r="H47" s="132"/>
      <c r="I47" s="132"/>
      <c r="J47" s="129"/>
      <c r="K47" s="129"/>
      <c r="L47" s="129"/>
      <c r="M47" s="129"/>
      <c r="N47" s="135"/>
      <c r="O47" s="30">
        <f>'Data input'!A47</f>
        <v>45</v>
      </c>
      <c r="P47" s="11">
        <f>'Data input'!G47*('Data input'!H47/1000)</f>
        <v>0</v>
      </c>
      <c r="Q47" s="11">
        <f>'Data input'!G47*('Data input'!H47/1000)*('Data input'!I47/1000)</f>
        <v>0</v>
      </c>
      <c r="R47" s="11">
        <f>'Data input'!G47*('Data input'!H47/1000)*('Data input'!I47/1000)*('Data input'!J47/1000)</f>
        <v>0</v>
      </c>
      <c r="S47" s="11" t="str">
        <f>IF(ISNA(VLOOKUP('Data input'!D47,$B$2:$C$200,2,FALSE)),"",VLOOKUP('Data input'!D47,$B$2:$C$200,2,FALSE))</f>
        <v/>
      </c>
      <c r="T47" s="11" t="str">
        <f>IF(S47="m3",Costs!R47,IF(S47="Each",'Data input'!G47,IF(S47="m",Costs!P47,IF(S47="m2",Costs!Q47,""))))</f>
        <v/>
      </c>
      <c r="U47" s="4" t="str">
        <f>IF(ISNA(VLOOKUP('Data input'!D47,$B$2:$J$200,9,FALSE)),"",VLOOKUP('Data input'!D47,$B$2:$J$200,9,FALSE))</f>
        <v/>
      </c>
      <c r="V47" s="4" t="e">
        <f t="shared" si="5"/>
        <v>#VALUE!</v>
      </c>
      <c r="W47">
        <f>'Data input'!M47</f>
        <v>0</v>
      </c>
      <c r="X47" s="4">
        <f t="shared" si="19"/>
        <v>0</v>
      </c>
      <c r="Y47" s="4" t="e">
        <f t="shared" si="6"/>
        <v>#VALUE!</v>
      </c>
      <c r="Z47" s="4" t="str">
        <f>IF(ISNA(VLOOKUP('Data input'!D47,$B$2:$E$200,4,FALSE)),"",VLOOKUP('Data input'!D47,$B$2:$E$200,4,FALSE))</f>
        <v/>
      </c>
      <c r="AA47" s="4" t="e">
        <f t="shared" si="20"/>
        <v>#VALUE!</v>
      </c>
      <c r="AB47">
        <f>'Data input'!N47</f>
        <v>0</v>
      </c>
      <c r="AC47">
        <f t="shared" si="7"/>
        <v>0</v>
      </c>
      <c r="AD47" s="4">
        <f t="shared" si="8"/>
        <v>0</v>
      </c>
      <c r="AE47" s="6">
        <f t="shared" si="9"/>
        <v>0</v>
      </c>
    </row>
    <row r="48" spans="1:31" x14ac:dyDescent="0.35">
      <c r="A48" s="129" t="s">
        <v>294</v>
      </c>
      <c r="B48" s="129"/>
      <c r="C48" s="133"/>
      <c r="E48" s="132"/>
      <c r="F48" s="134"/>
      <c r="G48" s="132"/>
      <c r="H48" s="132"/>
      <c r="I48" s="132"/>
      <c r="J48" s="129"/>
      <c r="K48" s="129"/>
      <c r="L48" s="129"/>
      <c r="M48" s="129"/>
      <c r="N48" s="135"/>
      <c r="O48" s="30">
        <f>'Data input'!A48</f>
        <v>46</v>
      </c>
      <c r="P48" s="11">
        <f>'Data input'!G48*('Data input'!H48/1000)</f>
        <v>0</v>
      </c>
      <c r="Q48" s="11">
        <f>'Data input'!G48*('Data input'!H48/1000)*('Data input'!I48/1000)</f>
        <v>0</v>
      </c>
      <c r="R48" s="11">
        <f>'Data input'!G48*('Data input'!H48/1000)*('Data input'!I48/1000)*('Data input'!J48/1000)</f>
        <v>0</v>
      </c>
      <c r="S48" s="11" t="str">
        <f>IF(ISNA(VLOOKUP('Data input'!D48,$B$2:$C$200,2,FALSE)),"",VLOOKUP('Data input'!D48,$B$2:$C$200,2,FALSE))</f>
        <v/>
      </c>
      <c r="T48" s="11" t="str">
        <f>IF(S48="m3",Costs!R48,IF(S48="Each",'Data input'!G48,IF(S48="m",Costs!P48,IF(S48="m2",Costs!Q48,""))))</f>
        <v/>
      </c>
      <c r="U48" s="4" t="str">
        <f>IF(ISNA(VLOOKUP('Data input'!D48,$B$2:$J$200,9,FALSE)),"",VLOOKUP('Data input'!D48,$B$2:$J$200,9,FALSE))</f>
        <v/>
      </c>
      <c r="V48" s="4" t="e">
        <f t="shared" si="5"/>
        <v>#VALUE!</v>
      </c>
      <c r="W48">
        <f>'Data input'!M48</f>
        <v>0</v>
      </c>
      <c r="X48" s="4">
        <f t="shared" si="19"/>
        <v>0</v>
      </c>
      <c r="Y48" s="4" t="e">
        <f t="shared" si="6"/>
        <v>#VALUE!</v>
      </c>
      <c r="Z48" s="4" t="str">
        <f>IF(ISNA(VLOOKUP('Data input'!D48,$B$2:$E$200,4,FALSE)),"",VLOOKUP('Data input'!D48,$B$2:$E$200,4,FALSE))</f>
        <v/>
      </c>
      <c r="AA48" s="4" t="e">
        <f t="shared" si="20"/>
        <v>#VALUE!</v>
      </c>
      <c r="AB48">
        <f>'Data input'!N48</f>
        <v>0</v>
      </c>
      <c r="AC48">
        <f t="shared" si="7"/>
        <v>0</v>
      </c>
      <c r="AD48" s="4">
        <f t="shared" si="8"/>
        <v>0</v>
      </c>
      <c r="AE48" s="6">
        <f t="shared" si="9"/>
        <v>0</v>
      </c>
    </row>
    <row r="49" spans="1:31" x14ac:dyDescent="0.35">
      <c r="A49" s="129" t="s">
        <v>295</v>
      </c>
      <c r="B49" s="129"/>
      <c r="C49" s="133"/>
      <c r="E49" s="132"/>
      <c r="F49" s="134"/>
      <c r="G49" s="132"/>
      <c r="H49" s="132"/>
      <c r="I49" s="132"/>
      <c r="J49" s="129"/>
      <c r="K49" s="129"/>
      <c r="L49" s="129"/>
      <c r="M49" s="129"/>
      <c r="N49" s="135"/>
      <c r="O49" s="30">
        <f>'Data input'!A49</f>
        <v>47</v>
      </c>
      <c r="P49" s="11">
        <f>'Data input'!G49*('Data input'!H49/1000)</f>
        <v>0</v>
      </c>
      <c r="Q49" s="11">
        <f>'Data input'!G49*('Data input'!H49/1000)*('Data input'!I49/1000)</f>
        <v>0</v>
      </c>
      <c r="R49" s="11">
        <f>'Data input'!G49*('Data input'!H49/1000)*('Data input'!I49/1000)*('Data input'!J49/1000)</f>
        <v>0</v>
      </c>
      <c r="S49" s="11" t="str">
        <f>IF(ISNA(VLOOKUP('Data input'!D49,$B$2:$C$200,2,FALSE)),"",VLOOKUP('Data input'!D49,$B$2:$C$200,2,FALSE))</f>
        <v/>
      </c>
      <c r="T49" s="11" t="str">
        <f>IF(S49="m3",Costs!R49,IF(S49="Each",'Data input'!G49,IF(S49="m",Costs!P49,IF(S49="m2",Costs!Q49,""))))</f>
        <v/>
      </c>
      <c r="U49" s="4" t="str">
        <f>IF(ISNA(VLOOKUP('Data input'!D49,$B$2:$J$200,9,FALSE)),"",VLOOKUP('Data input'!D49,$B$2:$J$200,9,FALSE))</f>
        <v/>
      </c>
      <c r="V49" s="4" t="e">
        <f t="shared" si="5"/>
        <v>#VALUE!</v>
      </c>
      <c r="W49">
        <f>'Data input'!M49</f>
        <v>0</v>
      </c>
      <c r="X49" s="4">
        <f t="shared" si="19"/>
        <v>0</v>
      </c>
      <c r="Y49" s="4" t="e">
        <f t="shared" si="6"/>
        <v>#VALUE!</v>
      </c>
      <c r="Z49" s="4" t="str">
        <f>IF(ISNA(VLOOKUP('Data input'!D49,$B$2:$E$200,4,FALSE)),"",VLOOKUP('Data input'!D49,$B$2:$E$200,4,FALSE))</f>
        <v/>
      </c>
      <c r="AA49" s="4" t="e">
        <f t="shared" si="20"/>
        <v>#VALUE!</v>
      </c>
      <c r="AB49">
        <f>'Data input'!N49</f>
        <v>0</v>
      </c>
      <c r="AC49">
        <f t="shared" si="7"/>
        <v>0</v>
      </c>
      <c r="AD49" s="4">
        <f t="shared" si="8"/>
        <v>0</v>
      </c>
      <c r="AE49" s="6">
        <f t="shared" si="9"/>
        <v>0</v>
      </c>
    </row>
    <row r="50" spans="1:31" x14ac:dyDescent="0.35">
      <c r="A50" s="129" t="s">
        <v>296</v>
      </c>
      <c r="B50" s="129"/>
      <c r="C50" s="133"/>
      <c r="E50" s="132"/>
      <c r="F50" s="134"/>
      <c r="G50" s="132"/>
      <c r="H50" s="132"/>
      <c r="I50" s="132"/>
      <c r="J50" s="129"/>
      <c r="K50" s="129"/>
      <c r="L50" s="129"/>
      <c r="M50" s="129"/>
      <c r="N50" s="135"/>
      <c r="O50" s="30">
        <f>'Data input'!A50</f>
        <v>48</v>
      </c>
      <c r="P50" s="11">
        <f>'Data input'!G50*('Data input'!H50/1000)</f>
        <v>0</v>
      </c>
      <c r="Q50" s="11">
        <f>'Data input'!G50*('Data input'!H50/1000)*('Data input'!I50/1000)</f>
        <v>0</v>
      </c>
      <c r="R50" s="11">
        <f>'Data input'!G50*('Data input'!H50/1000)*('Data input'!I50/1000)*('Data input'!J50/1000)</f>
        <v>0</v>
      </c>
      <c r="S50" s="11" t="str">
        <f>IF(ISNA(VLOOKUP('Data input'!D50,$B$2:$C$200,2,FALSE)),"",VLOOKUP('Data input'!D50,$B$2:$C$200,2,FALSE))</f>
        <v/>
      </c>
      <c r="T50" s="11" t="str">
        <f>IF(S50="m3",Costs!R50,IF(S50="Each",'Data input'!G50,IF(S50="m",Costs!P50,IF(S50="m2",Costs!Q50,""))))</f>
        <v/>
      </c>
      <c r="U50" s="4" t="str">
        <f>IF(ISNA(VLOOKUP('Data input'!D50,$B$2:$J$200,9,FALSE)),"",VLOOKUP('Data input'!D50,$B$2:$J$200,9,FALSE))</f>
        <v/>
      </c>
      <c r="V50" s="4" t="e">
        <f t="shared" si="5"/>
        <v>#VALUE!</v>
      </c>
      <c r="W50">
        <f>'Data input'!M50</f>
        <v>0</v>
      </c>
      <c r="X50" s="4">
        <f t="shared" si="19"/>
        <v>0</v>
      </c>
      <c r="Y50" s="4" t="e">
        <f t="shared" si="6"/>
        <v>#VALUE!</v>
      </c>
      <c r="Z50" s="4" t="str">
        <f>IF(ISNA(VLOOKUP('Data input'!D50,$B$2:$E$200,4,FALSE)),"",VLOOKUP('Data input'!D50,$B$2:$E$200,4,FALSE))</f>
        <v/>
      </c>
      <c r="AA50" s="4" t="e">
        <f t="shared" si="20"/>
        <v>#VALUE!</v>
      </c>
      <c r="AB50">
        <f>'Data input'!N50</f>
        <v>0</v>
      </c>
      <c r="AC50">
        <f t="shared" si="7"/>
        <v>0</v>
      </c>
      <c r="AD50" s="4">
        <f t="shared" si="8"/>
        <v>0</v>
      </c>
      <c r="AE50" s="6">
        <f t="shared" si="9"/>
        <v>0</v>
      </c>
    </row>
    <row r="51" spans="1:31" x14ac:dyDescent="0.35">
      <c r="A51" s="129" t="s">
        <v>297</v>
      </c>
      <c r="B51" s="129"/>
      <c r="C51" s="133"/>
      <c r="E51" s="132"/>
      <c r="F51" s="134"/>
      <c r="G51" s="132"/>
      <c r="H51" s="132"/>
      <c r="I51" s="132"/>
      <c r="J51" s="129"/>
      <c r="K51" s="129"/>
      <c r="L51" s="129"/>
      <c r="M51" s="129"/>
      <c r="N51" s="135"/>
      <c r="O51" s="30">
        <f>'Data input'!A51</f>
        <v>49</v>
      </c>
      <c r="P51" s="11">
        <f>'Data input'!G51*('Data input'!H51/1000)</f>
        <v>0</v>
      </c>
      <c r="Q51" s="11">
        <f>'Data input'!G51*('Data input'!H51/1000)*('Data input'!I51/1000)</f>
        <v>0</v>
      </c>
      <c r="R51" s="11">
        <f>'Data input'!G51*('Data input'!H51/1000)*('Data input'!I51/1000)*('Data input'!J51/1000)</f>
        <v>0</v>
      </c>
      <c r="S51" s="11" t="str">
        <f>IF(ISNA(VLOOKUP('Data input'!D51,$B$2:$C$200,2,FALSE)),"",VLOOKUP('Data input'!D51,$B$2:$C$200,2,FALSE))</f>
        <v/>
      </c>
      <c r="T51" s="11" t="str">
        <f>IF(S51="m3",Costs!R51,IF(S51="Each",'Data input'!G51,IF(S51="m",Costs!P51,IF(S51="m2",Costs!Q51,""))))</f>
        <v/>
      </c>
      <c r="U51" s="4" t="str">
        <f>IF(ISNA(VLOOKUP('Data input'!D51,$B$2:$J$200,9,FALSE)),"",VLOOKUP('Data input'!D51,$B$2:$J$200,9,FALSE))</f>
        <v/>
      </c>
      <c r="V51" s="4" t="e">
        <f t="shared" si="5"/>
        <v>#VALUE!</v>
      </c>
      <c r="W51">
        <f>'Data input'!M51</f>
        <v>0</v>
      </c>
      <c r="X51" s="4">
        <f t="shared" si="19"/>
        <v>0</v>
      </c>
      <c r="Y51" s="4" t="e">
        <f t="shared" si="6"/>
        <v>#VALUE!</v>
      </c>
      <c r="Z51" s="4" t="str">
        <f>IF(ISNA(VLOOKUP('Data input'!D51,$B$2:$E$200,4,FALSE)),"",VLOOKUP('Data input'!D51,$B$2:$E$200,4,FALSE))</f>
        <v/>
      </c>
      <c r="AA51" s="4" t="e">
        <f t="shared" si="20"/>
        <v>#VALUE!</v>
      </c>
      <c r="AB51">
        <f>'Data input'!N51</f>
        <v>0</v>
      </c>
      <c r="AC51">
        <f t="shared" si="7"/>
        <v>0</v>
      </c>
      <c r="AD51" s="4">
        <f t="shared" si="8"/>
        <v>0</v>
      </c>
      <c r="AE51" s="6">
        <f t="shared" si="9"/>
        <v>0</v>
      </c>
    </row>
    <row r="52" spans="1:31" x14ac:dyDescent="0.35">
      <c r="A52" s="129" t="s">
        <v>298</v>
      </c>
      <c r="B52" s="129"/>
      <c r="C52" s="133"/>
      <c r="E52" s="132"/>
      <c r="F52" s="134"/>
      <c r="G52" s="132"/>
      <c r="H52" s="132"/>
      <c r="I52" s="132"/>
      <c r="J52" s="129"/>
      <c r="K52" s="129"/>
      <c r="L52" s="129"/>
      <c r="M52" s="129"/>
      <c r="N52" s="135"/>
      <c r="O52" s="30">
        <f>'Data input'!A52</f>
        <v>50</v>
      </c>
      <c r="P52" s="11">
        <f>'Data input'!G52*('Data input'!H52/1000)</f>
        <v>0</v>
      </c>
      <c r="Q52" s="11">
        <f>'Data input'!G52*('Data input'!H52/1000)*('Data input'!I52/1000)</f>
        <v>0</v>
      </c>
      <c r="R52" s="11">
        <f>'Data input'!G52*('Data input'!H52/1000)*('Data input'!I52/1000)*('Data input'!J52/1000)</f>
        <v>0</v>
      </c>
      <c r="S52" s="11" t="str">
        <f>IF(ISNA(VLOOKUP('Data input'!D52,$B$2:$C$200,2,FALSE)),"",VLOOKUP('Data input'!D52,$B$2:$C$200,2,FALSE))</f>
        <v/>
      </c>
      <c r="T52" s="11" t="str">
        <f>IF(S52="m3",Costs!R52,IF(S52="Each",'Data input'!G52,IF(S52="m",Costs!P52,IF(S52="m2",Costs!Q52,""))))</f>
        <v/>
      </c>
      <c r="U52" s="4" t="str">
        <f>IF(ISNA(VLOOKUP('Data input'!D52,$B$2:$J$200,9,FALSE)),"",VLOOKUP('Data input'!D52,$B$2:$J$200,9,FALSE))</f>
        <v/>
      </c>
      <c r="V52" s="4" t="e">
        <f t="shared" si="5"/>
        <v>#VALUE!</v>
      </c>
      <c r="W52">
        <f>'Data input'!M52</f>
        <v>0</v>
      </c>
      <c r="X52" s="4">
        <f t="shared" si="19"/>
        <v>0</v>
      </c>
      <c r="Y52" s="4" t="e">
        <f t="shared" si="6"/>
        <v>#VALUE!</v>
      </c>
      <c r="Z52" s="4" t="str">
        <f>IF(ISNA(VLOOKUP('Data input'!D52,$B$2:$E$200,4,FALSE)),"",VLOOKUP('Data input'!D52,$B$2:$E$200,4,FALSE))</f>
        <v/>
      </c>
      <c r="AA52" s="4" t="e">
        <f t="shared" si="20"/>
        <v>#VALUE!</v>
      </c>
      <c r="AB52">
        <f>'Data input'!N52</f>
        <v>0</v>
      </c>
      <c r="AC52">
        <f t="shared" si="7"/>
        <v>0</v>
      </c>
      <c r="AD52" s="4">
        <f t="shared" si="8"/>
        <v>0</v>
      </c>
      <c r="AE52" s="6">
        <f t="shared" si="9"/>
        <v>0</v>
      </c>
    </row>
    <row r="53" spans="1:31" x14ac:dyDescent="0.35">
      <c r="A53" s="129" t="s">
        <v>299</v>
      </c>
      <c r="B53" s="129"/>
      <c r="C53" s="133"/>
      <c r="E53" s="132"/>
      <c r="F53" s="134"/>
      <c r="G53" s="132"/>
      <c r="H53" s="132"/>
      <c r="I53" s="132"/>
      <c r="J53" s="129"/>
      <c r="K53" s="129"/>
      <c r="L53" s="129"/>
      <c r="M53" s="129"/>
      <c r="N53" s="135"/>
      <c r="O53" s="30">
        <f>'Data input'!A53</f>
        <v>51</v>
      </c>
      <c r="P53" s="11">
        <f>'Data input'!G53*('Data input'!H53/1000)</f>
        <v>0</v>
      </c>
      <c r="Q53" s="11">
        <f>'Data input'!G53*('Data input'!H53/1000)*('Data input'!I53/1000)</f>
        <v>0</v>
      </c>
      <c r="R53" s="11">
        <f>'Data input'!G53*('Data input'!H53/1000)*('Data input'!I53/1000)*('Data input'!J53/1000)</f>
        <v>0</v>
      </c>
      <c r="S53" s="11" t="str">
        <f>IF(ISNA(VLOOKUP('Data input'!D53,$B$2:$C$200,2,FALSE)),"",VLOOKUP('Data input'!D53,$B$2:$C$200,2,FALSE))</f>
        <v/>
      </c>
      <c r="T53" s="11" t="str">
        <f>IF(S53="m3",Costs!R53,IF(S53="Each",'Data input'!G53,IF(S53="m",Costs!P53,IF(S53="m2",Costs!Q53,""))))</f>
        <v/>
      </c>
      <c r="U53" s="4" t="str">
        <f>IF(ISNA(VLOOKUP('Data input'!D53,$B$2:$J$200,9,FALSE)),"",VLOOKUP('Data input'!D53,$B$2:$J$200,9,FALSE))</f>
        <v/>
      </c>
      <c r="V53" s="4" t="e">
        <f t="shared" si="5"/>
        <v>#VALUE!</v>
      </c>
      <c r="W53">
        <f>'Data input'!M53</f>
        <v>0</v>
      </c>
      <c r="X53" s="4">
        <f t="shared" si="19"/>
        <v>0</v>
      </c>
      <c r="Y53" s="4" t="e">
        <f t="shared" si="6"/>
        <v>#VALUE!</v>
      </c>
      <c r="Z53" s="4" t="str">
        <f>IF(ISNA(VLOOKUP('Data input'!D53,$B$2:$E$200,4,FALSE)),"",VLOOKUP('Data input'!D53,$B$2:$E$200,4,FALSE))</f>
        <v/>
      </c>
      <c r="AA53" s="4" t="e">
        <f t="shared" si="20"/>
        <v>#VALUE!</v>
      </c>
      <c r="AB53">
        <f>'Data input'!N53</f>
        <v>0</v>
      </c>
      <c r="AC53">
        <f t="shared" si="7"/>
        <v>0</v>
      </c>
      <c r="AD53" s="4">
        <f t="shared" si="8"/>
        <v>0</v>
      </c>
      <c r="AE53" s="6">
        <f t="shared" si="9"/>
        <v>0</v>
      </c>
    </row>
    <row r="54" spans="1:31" x14ac:dyDescent="0.35">
      <c r="A54" s="129" t="s">
        <v>300</v>
      </c>
      <c r="B54" s="129"/>
      <c r="C54" s="133"/>
      <c r="E54" s="132"/>
      <c r="F54" s="134"/>
      <c r="G54" s="132"/>
      <c r="H54" s="132"/>
      <c r="I54" s="132"/>
      <c r="J54" s="129"/>
      <c r="K54" s="129"/>
      <c r="L54" s="129"/>
      <c r="M54" s="129"/>
      <c r="N54" s="135"/>
      <c r="O54" s="30">
        <f>'Data input'!A54</f>
        <v>52</v>
      </c>
      <c r="P54" s="11">
        <f>'Data input'!G54*('Data input'!H54/1000)</f>
        <v>0</v>
      </c>
      <c r="Q54" s="11">
        <f>'Data input'!G54*('Data input'!H54/1000)*('Data input'!I54/1000)</f>
        <v>0</v>
      </c>
      <c r="R54" s="11">
        <f>'Data input'!G54*('Data input'!H54/1000)*('Data input'!I54/1000)*('Data input'!J54/1000)</f>
        <v>0</v>
      </c>
      <c r="S54" s="11" t="str">
        <f>IF(ISNA(VLOOKUP('Data input'!D54,$B$2:$C$200,2,FALSE)),"",VLOOKUP('Data input'!D54,$B$2:$C$200,2,FALSE))</f>
        <v/>
      </c>
      <c r="T54" s="11" t="str">
        <f>IF(S54="m3",Costs!R54,IF(S54="Each",'Data input'!G54,IF(S54="m",Costs!P54,IF(S54="m2",Costs!Q54,""))))</f>
        <v/>
      </c>
      <c r="U54" s="4" t="str">
        <f>IF(ISNA(VLOOKUP('Data input'!D54,$B$2:$J$200,9,FALSE)),"",VLOOKUP('Data input'!D54,$B$2:$J$200,9,FALSE))</f>
        <v/>
      </c>
      <c r="V54" s="4" t="e">
        <f t="shared" si="5"/>
        <v>#VALUE!</v>
      </c>
      <c r="W54">
        <f>'Data input'!M54</f>
        <v>0</v>
      </c>
      <c r="X54" s="4">
        <f t="shared" si="19"/>
        <v>0</v>
      </c>
      <c r="Y54" s="4" t="e">
        <f t="shared" si="6"/>
        <v>#VALUE!</v>
      </c>
      <c r="Z54" s="4" t="str">
        <f>IF(ISNA(VLOOKUP('Data input'!D54,$B$2:$E$200,4,FALSE)),"",VLOOKUP('Data input'!D54,$B$2:$E$200,4,FALSE))</f>
        <v/>
      </c>
      <c r="AA54" s="4" t="e">
        <f t="shared" si="20"/>
        <v>#VALUE!</v>
      </c>
      <c r="AB54">
        <f>'Data input'!N54</f>
        <v>0</v>
      </c>
      <c r="AC54">
        <f t="shared" si="7"/>
        <v>0</v>
      </c>
      <c r="AD54" s="4">
        <f t="shared" si="8"/>
        <v>0</v>
      </c>
      <c r="AE54" s="6">
        <f t="shared" si="9"/>
        <v>0</v>
      </c>
    </row>
    <row r="55" spans="1:31" x14ac:dyDescent="0.35">
      <c r="A55" s="129" t="s">
        <v>301</v>
      </c>
      <c r="B55" s="129"/>
      <c r="C55" s="133"/>
      <c r="E55" s="132"/>
      <c r="F55" s="134"/>
      <c r="G55" s="132"/>
      <c r="H55" s="132"/>
      <c r="I55" s="132"/>
      <c r="J55" s="129"/>
      <c r="K55" s="129"/>
      <c r="L55" s="129"/>
      <c r="M55" s="129"/>
      <c r="N55" s="135"/>
      <c r="O55" s="30">
        <f>'Data input'!A55</f>
        <v>53</v>
      </c>
      <c r="P55" s="11">
        <f>'Data input'!G55*('Data input'!H55/1000)</f>
        <v>0</v>
      </c>
      <c r="Q55" s="11">
        <f>'Data input'!G55*('Data input'!H55/1000)*('Data input'!I55/1000)</f>
        <v>0</v>
      </c>
      <c r="R55" s="11">
        <f>'Data input'!G55*('Data input'!H55/1000)*('Data input'!I55/1000)*('Data input'!J55/1000)</f>
        <v>0</v>
      </c>
      <c r="S55" s="11" t="str">
        <f>IF(ISNA(VLOOKUP('Data input'!D55,$B$2:$C$200,2,FALSE)),"",VLOOKUP('Data input'!D55,$B$2:$C$200,2,FALSE))</f>
        <v/>
      </c>
      <c r="T55" s="11" t="str">
        <f>IF(S55="m3",Costs!R55,IF(S55="Each",'Data input'!G55,IF(S55="m",Costs!P55,IF(S55="m2",Costs!Q55,""))))</f>
        <v/>
      </c>
      <c r="U55" s="4" t="str">
        <f>IF(ISNA(VLOOKUP('Data input'!D55,$B$2:$J$200,9,FALSE)),"",VLOOKUP('Data input'!D55,$B$2:$J$200,9,FALSE))</f>
        <v/>
      </c>
      <c r="V55" s="4" t="e">
        <f t="shared" si="5"/>
        <v>#VALUE!</v>
      </c>
      <c r="W55">
        <f>'Data input'!M55</f>
        <v>0</v>
      </c>
      <c r="X55" s="4">
        <f t="shared" si="19"/>
        <v>0</v>
      </c>
      <c r="Y55" s="4" t="e">
        <f t="shared" si="6"/>
        <v>#VALUE!</v>
      </c>
      <c r="Z55" s="4" t="str">
        <f>IF(ISNA(VLOOKUP('Data input'!D55,$B$2:$E$200,4,FALSE)),"",VLOOKUP('Data input'!D55,$B$2:$E$200,4,FALSE))</f>
        <v/>
      </c>
      <c r="AA55" s="4" t="e">
        <f t="shared" si="20"/>
        <v>#VALUE!</v>
      </c>
      <c r="AB55">
        <f>'Data input'!N55</f>
        <v>0</v>
      </c>
      <c r="AC55">
        <f t="shared" si="7"/>
        <v>0</v>
      </c>
      <c r="AD55" s="4">
        <f t="shared" si="8"/>
        <v>0</v>
      </c>
      <c r="AE55" s="6">
        <f t="shared" si="9"/>
        <v>0</v>
      </c>
    </row>
    <row r="56" spans="1:31" x14ac:dyDescent="0.35">
      <c r="A56" s="129" t="s">
        <v>302</v>
      </c>
      <c r="B56" s="129"/>
      <c r="C56" s="133"/>
      <c r="E56" s="132"/>
      <c r="F56" s="134"/>
      <c r="G56" s="132"/>
      <c r="H56" s="132"/>
      <c r="I56" s="132"/>
      <c r="J56" s="129"/>
      <c r="K56" s="129"/>
      <c r="L56" s="129"/>
      <c r="M56" s="129"/>
      <c r="N56" s="135"/>
      <c r="O56" s="30">
        <f>'Data input'!A56</f>
        <v>54</v>
      </c>
      <c r="P56" s="11">
        <f>'Data input'!G56*('Data input'!H56/1000)</f>
        <v>0</v>
      </c>
      <c r="Q56" s="11">
        <f>'Data input'!G56*('Data input'!H56/1000)*('Data input'!I56/1000)</f>
        <v>0</v>
      </c>
      <c r="R56" s="11">
        <f>'Data input'!G56*('Data input'!H56/1000)*('Data input'!I56/1000)*('Data input'!J56/1000)</f>
        <v>0</v>
      </c>
      <c r="S56" s="11" t="str">
        <f>IF(ISNA(VLOOKUP('Data input'!D56,$B$2:$C$200,2,FALSE)),"",VLOOKUP('Data input'!D56,$B$2:$C$200,2,FALSE))</f>
        <v/>
      </c>
      <c r="T56" s="11" t="str">
        <f>IF(S56="m3",Costs!R56,IF(S56="Each",'Data input'!G56,IF(S56="m",Costs!P56,IF(S56="m2",Costs!Q56,""))))</f>
        <v/>
      </c>
      <c r="U56" s="4" t="str">
        <f>IF(ISNA(VLOOKUP('Data input'!D56,$B$2:$J$200,9,FALSE)),"",VLOOKUP('Data input'!D56,$B$2:$J$200,9,FALSE))</f>
        <v/>
      </c>
      <c r="V56" s="4" t="e">
        <f t="shared" si="5"/>
        <v>#VALUE!</v>
      </c>
      <c r="W56">
        <f>'Data input'!M56</f>
        <v>0</v>
      </c>
      <c r="X56" s="4">
        <f t="shared" si="19"/>
        <v>0</v>
      </c>
      <c r="Y56" s="4" t="e">
        <f t="shared" si="6"/>
        <v>#VALUE!</v>
      </c>
      <c r="Z56" s="4" t="str">
        <f>IF(ISNA(VLOOKUP('Data input'!D56,$B$2:$E$200,4,FALSE)),"",VLOOKUP('Data input'!D56,$B$2:$E$200,4,FALSE))</f>
        <v/>
      </c>
      <c r="AA56" s="4" t="e">
        <f t="shared" si="20"/>
        <v>#VALUE!</v>
      </c>
      <c r="AB56">
        <f>'Data input'!N56</f>
        <v>0</v>
      </c>
      <c r="AC56">
        <f t="shared" si="7"/>
        <v>0</v>
      </c>
      <c r="AD56" s="4">
        <f t="shared" si="8"/>
        <v>0</v>
      </c>
      <c r="AE56" s="6">
        <f t="shared" si="9"/>
        <v>0</v>
      </c>
    </row>
    <row r="57" spans="1:31" x14ac:dyDescent="0.35">
      <c r="A57" s="129" t="s">
        <v>303</v>
      </c>
      <c r="B57" s="129"/>
      <c r="C57" s="133"/>
      <c r="E57" s="132"/>
      <c r="F57" s="134"/>
      <c r="G57" s="132"/>
      <c r="H57" s="132"/>
      <c r="I57" s="132"/>
      <c r="J57" s="129"/>
      <c r="K57" s="129"/>
      <c r="L57" s="129"/>
      <c r="M57" s="129"/>
      <c r="N57" s="135"/>
      <c r="O57" s="30">
        <f>'Data input'!A57</f>
        <v>55</v>
      </c>
      <c r="P57" s="11">
        <f>'Data input'!G57*('Data input'!H57/1000)</f>
        <v>0</v>
      </c>
      <c r="Q57" s="11">
        <f>'Data input'!G57*('Data input'!H57/1000)*('Data input'!I57/1000)</f>
        <v>0</v>
      </c>
      <c r="R57" s="11">
        <f>'Data input'!G57*('Data input'!H57/1000)*('Data input'!I57/1000)*('Data input'!J57/1000)</f>
        <v>0</v>
      </c>
      <c r="S57" s="11" t="str">
        <f>IF(ISNA(VLOOKUP('Data input'!D57,$B$2:$C$200,2,FALSE)),"",VLOOKUP('Data input'!D57,$B$2:$C$200,2,FALSE))</f>
        <v/>
      </c>
      <c r="T57" s="11" t="str">
        <f>IF(S57="m3",Costs!R57,IF(S57="Each",'Data input'!G57,IF(S57="m",Costs!P57,IF(S57="m2",Costs!Q57,""))))</f>
        <v/>
      </c>
      <c r="U57" s="4" t="str">
        <f>IF(ISNA(VLOOKUP('Data input'!D57,$B$2:$J$200,9,FALSE)),"",VLOOKUP('Data input'!D57,$B$2:$J$200,9,FALSE))</f>
        <v/>
      </c>
      <c r="V57" s="4" t="e">
        <f t="shared" si="5"/>
        <v>#VALUE!</v>
      </c>
      <c r="W57">
        <f>'Data input'!M57</f>
        <v>0</v>
      </c>
      <c r="X57" s="4">
        <f t="shared" si="19"/>
        <v>0</v>
      </c>
      <c r="Y57" s="4" t="e">
        <f t="shared" si="6"/>
        <v>#VALUE!</v>
      </c>
      <c r="Z57" s="4" t="str">
        <f>IF(ISNA(VLOOKUP('Data input'!D57,$B$2:$E$200,4,FALSE)),"",VLOOKUP('Data input'!D57,$B$2:$E$200,4,FALSE))</f>
        <v/>
      </c>
      <c r="AA57" s="4" t="e">
        <f t="shared" si="20"/>
        <v>#VALUE!</v>
      </c>
      <c r="AB57">
        <f>'Data input'!N57</f>
        <v>0</v>
      </c>
      <c r="AC57">
        <f t="shared" si="7"/>
        <v>0</v>
      </c>
      <c r="AD57" s="4">
        <f t="shared" si="8"/>
        <v>0</v>
      </c>
      <c r="AE57" s="6">
        <f t="shared" si="9"/>
        <v>0</v>
      </c>
    </row>
    <row r="58" spans="1:31" x14ac:dyDescent="0.35">
      <c r="O58" s="30">
        <f>'Data input'!A58</f>
        <v>56</v>
      </c>
      <c r="P58" s="11">
        <f>'Data input'!G58*('Data input'!H58/1000)</f>
        <v>0</v>
      </c>
      <c r="Q58" s="11">
        <f>'Data input'!G58*('Data input'!H58/1000)*('Data input'!I58/1000)</f>
        <v>0</v>
      </c>
      <c r="R58" s="11">
        <f>'Data input'!G58*('Data input'!H58/1000)*('Data input'!I58/1000)*('Data input'!J58/1000)</f>
        <v>0</v>
      </c>
      <c r="S58" s="11" t="str">
        <f>IF(ISNA(VLOOKUP('Data input'!D58,$B$2:$C$200,2,FALSE)),"",VLOOKUP('Data input'!D58,$B$2:$C$200,2,FALSE))</f>
        <v/>
      </c>
      <c r="T58" s="11" t="str">
        <f>IF(S58="m3",Costs!R58,IF(S58="Each",'Data input'!G58,IF(S58="m",Costs!P58,IF(S58="m2",Costs!Q58,""))))</f>
        <v/>
      </c>
      <c r="U58" s="4" t="str">
        <f>IF(ISNA(VLOOKUP('Data input'!D58,$B$2:$J$200,9,FALSE)),"",VLOOKUP('Data input'!D58,$B$2:$J$200,9,FALSE))</f>
        <v/>
      </c>
      <c r="V58" s="4" t="e">
        <f t="shared" si="5"/>
        <v>#VALUE!</v>
      </c>
      <c r="W58">
        <f>'Data input'!M58</f>
        <v>0</v>
      </c>
      <c r="X58" s="4">
        <f t="shared" si="19"/>
        <v>0</v>
      </c>
      <c r="Y58" s="4" t="e">
        <f t="shared" si="6"/>
        <v>#VALUE!</v>
      </c>
      <c r="Z58" s="4" t="str">
        <f>IF(ISNA(VLOOKUP('Data input'!D58,$B$2:$E$200,4,FALSE)),"",VLOOKUP('Data input'!D58,$B$2:$E$200,4,FALSE))</f>
        <v/>
      </c>
      <c r="AA58" s="4" t="e">
        <f t="shared" si="20"/>
        <v>#VALUE!</v>
      </c>
      <c r="AB58">
        <f>'Data input'!N58</f>
        <v>0</v>
      </c>
      <c r="AC58">
        <f t="shared" si="7"/>
        <v>0</v>
      </c>
      <c r="AD58" s="4">
        <f t="shared" si="8"/>
        <v>0</v>
      </c>
      <c r="AE58" s="6">
        <f t="shared" si="9"/>
        <v>0</v>
      </c>
    </row>
    <row r="59" spans="1:31" x14ac:dyDescent="0.35">
      <c r="O59" s="30">
        <f>'Data input'!A59</f>
        <v>57</v>
      </c>
      <c r="P59" s="11">
        <f>'Data input'!G59*('Data input'!H59/1000)</f>
        <v>0</v>
      </c>
      <c r="Q59" s="11">
        <f>'Data input'!G59*('Data input'!H59/1000)*('Data input'!I59/1000)</f>
        <v>0</v>
      </c>
      <c r="R59" s="11">
        <f>'Data input'!G59*('Data input'!H59/1000)*('Data input'!I59/1000)*('Data input'!J59/1000)</f>
        <v>0</v>
      </c>
      <c r="S59" s="11" t="str">
        <f>IF(ISNA(VLOOKUP('Data input'!D59,$B$2:$C$200,2,FALSE)),"",VLOOKUP('Data input'!D59,$B$2:$C$200,2,FALSE))</f>
        <v/>
      </c>
      <c r="T59" s="11" t="str">
        <f>IF(S59="m3",Costs!R59,IF(S59="Each",'Data input'!G59,IF(S59="m",Costs!P59,IF(S59="m2",Costs!Q59,""))))</f>
        <v/>
      </c>
      <c r="U59" s="4" t="str">
        <f>IF(ISNA(VLOOKUP('Data input'!D59,$B$2:$J$200,9,FALSE)),"",VLOOKUP('Data input'!D59,$B$2:$J$200,9,FALSE))</f>
        <v/>
      </c>
      <c r="V59" s="4" t="e">
        <f t="shared" si="5"/>
        <v>#VALUE!</v>
      </c>
      <c r="W59">
        <f>'Data input'!M59</f>
        <v>0</v>
      </c>
      <c r="X59" s="4">
        <f t="shared" si="19"/>
        <v>0</v>
      </c>
      <c r="Y59" s="4" t="e">
        <f t="shared" si="6"/>
        <v>#VALUE!</v>
      </c>
      <c r="Z59" s="4" t="str">
        <f>IF(ISNA(VLOOKUP('Data input'!D59,$B$2:$E$200,4,FALSE)),"",VLOOKUP('Data input'!D59,$B$2:$E$200,4,FALSE))</f>
        <v/>
      </c>
      <c r="AA59" s="4" t="e">
        <f t="shared" si="20"/>
        <v>#VALUE!</v>
      </c>
      <c r="AB59">
        <f>'Data input'!N59</f>
        <v>0</v>
      </c>
      <c r="AC59">
        <f t="shared" si="7"/>
        <v>0</v>
      </c>
      <c r="AD59" s="4">
        <f t="shared" si="8"/>
        <v>0</v>
      </c>
      <c r="AE59" s="6">
        <f t="shared" si="9"/>
        <v>0</v>
      </c>
    </row>
    <row r="60" spans="1:31" x14ac:dyDescent="0.35">
      <c r="O60" s="30">
        <f>'Data input'!A60</f>
        <v>58</v>
      </c>
      <c r="P60" s="11">
        <f>'Data input'!G60*('Data input'!H60/1000)</f>
        <v>0</v>
      </c>
      <c r="Q60" s="11">
        <f>'Data input'!G60*('Data input'!H60/1000)*('Data input'!I60/1000)</f>
        <v>0</v>
      </c>
      <c r="R60" s="11">
        <f>'Data input'!G60*('Data input'!H60/1000)*('Data input'!I60/1000)*('Data input'!J60/1000)</f>
        <v>0</v>
      </c>
      <c r="S60" s="11" t="str">
        <f>IF(ISNA(VLOOKUP('Data input'!D60,$B$2:$C$200,2,FALSE)),"",VLOOKUP('Data input'!D60,$B$2:$C$200,2,FALSE))</f>
        <v/>
      </c>
      <c r="T60" s="11" t="str">
        <f>IF(S60="m3",Costs!R60,IF(S60="Each",'Data input'!G60,IF(S60="m",Costs!P60,IF(S60="m2",Costs!Q60,""))))</f>
        <v/>
      </c>
      <c r="U60" s="4" t="str">
        <f>IF(ISNA(VLOOKUP('Data input'!D60,$B$2:$J$200,9,FALSE)),"",VLOOKUP('Data input'!D60,$B$2:$J$200,9,FALSE))</f>
        <v/>
      </c>
      <c r="V60" s="4" t="e">
        <f t="shared" si="5"/>
        <v>#VALUE!</v>
      </c>
      <c r="W60">
        <f>'Data input'!M60</f>
        <v>0</v>
      </c>
      <c r="X60" s="4">
        <f t="shared" si="19"/>
        <v>0</v>
      </c>
      <c r="Y60" s="4" t="e">
        <f t="shared" si="6"/>
        <v>#VALUE!</v>
      </c>
      <c r="Z60" s="4" t="str">
        <f>IF(ISNA(VLOOKUP('Data input'!D60,$B$2:$E$200,4,FALSE)),"",VLOOKUP('Data input'!D60,$B$2:$E$200,4,FALSE))</f>
        <v/>
      </c>
      <c r="AA60" s="4" t="e">
        <f t="shared" si="20"/>
        <v>#VALUE!</v>
      </c>
      <c r="AB60">
        <f>'Data input'!N60</f>
        <v>0</v>
      </c>
      <c r="AC60">
        <f t="shared" si="7"/>
        <v>0</v>
      </c>
      <c r="AD60" s="4">
        <f t="shared" si="8"/>
        <v>0</v>
      </c>
      <c r="AE60" s="6">
        <f t="shared" si="9"/>
        <v>0</v>
      </c>
    </row>
    <row r="61" spans="1:31" x14ac:dyDescent="0.35">
      <c r="O61" s="30">
        <f>'Data input'!A61</f>
        <v>59</v>
      </c>
      <c r="P61" s="11">
        <f>'Data input'!G61*('Data input'!H61/1000)</f>
        <v>0</v>
      </c>
      <c r="Q61" s="11">
        <f>'Data input'!G61*('Data input'!H61/1000)*('Data input'!I61/1000)</f>
        <v>0</v>
      </c>
      <c r="R61" s="11">
        <f>'Data input'!G61*('Data input'!H61/1000)*('Data input'!I61/1000)*('Data input'!J61/1000)</f>
        <v>0</v>
      </c>
      <c r="S61" s="11" t="str">
        <f>IF(ISNA(VLOOKUP('Data input'!D61,$B$2:$C$200,2,FALSE)),"",VLOOKUP('Data input'!D61,$B$2:$C$200,2,FALSE))</f>
        <v/>
      </c>
      <c r="T61" s="11" t="str">
        <f>IF(S61="m3",Costs!R61,IF(S61="Each",'Data input'!G61,IF(S61="m",Costs!P61,IF(S61="m2",Costs!Q61,""))))</f>
        <v/>
      </c>
      <c r="U61" s="4" t="str">
        <f>IF(ISNA(VLOOKUP('Data input'!D61,$B$2:$J$200,9,FALSE)),"",VLOOKUP('Data input'!D61,$B$2:$J$200,9,FALSE))</f>
        <v/>
      </c>
      <c r="V61" s="4" t="e">
        <f t="shared" si="5"/>
        <v>#VALUE!</v>
      </c>
      <c r="W61">
        <f>'Data input'!M61</f>
        <v>0</v>
      </c>
      <c r="X61" s="4">
        <f t="shared" si="19"/>
        <v>0</v>
      </c>
      <c r="Y61" s="4" t="e">
        <f t="shared" si="6"/>
        <v>#VALUE!</v>
      </c>
      <c r="Z61" s="4" t="str">
        <f>IF(ISNA(VLOOKUP('Data input'!D61,$B$2:$E$200,4,FALSE)),"",VLOOKUP('Data input'!D61,$B$2:$E$200,4,FALSE))</f>
        <v/>
      </c>
      <c r="AA61" s="4" t="e">
        <f t="shared" si="20"/>
        <v>#VALUE!</v>
      </c>
      <c r="AB61">
        <f>'Data input'!N61</f>
        <v>0</v>
      </c>
      <c r="AC61">
        <f t="shared" si="7"/>
        <v>0</v>
      </c>
      <c r="AD61" s="4">
        <f t="shared" si="8"/>
        <v>0</v>
      </c>
      <c r="AE61" s="6">
        <f t="shared" si="9"/>
        <v>0</v>
      </c>
    </row>
    <row r="62" spans="1:31" x14ac:dyDescent="0.35">
      <c r="A62" t="str">
        <f>Lists!A$2</f>
        <v>Insulation</v>
      </c>
      <c r="B62" t="s">
        <v>381</v>
      </c>
      <c r="C62" s="8" t="s">
        <v>362</v>
      </c>
      <c r="E62" s="136">
        <f>AVERAGE(E63:E69)</f>
        <v>24.552571428571429</v>
      </c>
      <c r="F62" s="14">
        <f>SUMIF('Data input'!D3:D202,B62,$Q$3:$Q$202)</f>
        <v>0</v>
      </c>
      <c r="G62" s="4">
        <f>E62*F62</f>
        <v>0</v>
      </c>
      <c r="H62" s="136">
        <f>AVERAGE(H63:H69)</f>
        <v>7.218571428571428</v>
      </c>
      <c r="I62" s="136"/>
      <c r="J62" s="6">
        <f t="shared" ref="J62:J93" si="21">H62+I62</f>
        <v>7.218571428571428</v>
      </c>
      <c r="K62" s="6">
        <f>F62*J62</f>
        <v>0</v>
      </c>
      <c r="L62" s="4">
        <f>SUMIF('Data input'!$D$3:$D$202,B62,$X$3:$X$202)</f>
        <v>0</v>
      </c>
      <c r="M62" s="4">
        <f>SUMIF('Data input'!$D$3:$D$202,B62,$AC$3:$AC$202)</f>
        <v>0</v>
      </c>
      <c r="N62" s="67">
        <f>SUMIF('Data input'!$D$3:$D$202,B62,$AD$3:$AD$202)</f>
        <v>0</v>
      </c>
      <c r="O62" s="30">
        <f>'Data input'!A62</f>
        <v>60</v>
      </c>
      <c r="P62" s="11">
        <f>'Data input'!G62*('Data input'!H62/1000)</f>
        <v>0</v>
      </c>
      <c r="Q62" s="11">
        <f>'Data input'!G62*('Data input'!H62/1000)*('Data input'!I62/1000)</f>
        <v>0</v>
      </c>
      <c r="R62" s="11">
        <f>'Data input'!G62*('Data input'!H62/1000)*('Data input'!I62/1000)*('Data input'!J62/1000)</f>
        <v>0</v>
      </c>
      <c r="S62" s="11" t="str">
        <f>IF(ISNA(VLOOKUP('Data input'!D62,$B$2:$C$200,2,FALSE)),"",VLOOKUP('Data input'!D62,$B$2:$C$200,2,FALSE))</f>
        <v/>
      </c>
      <c r="T62" s="11" t="str">
        <f>IF(S62="m3",Costs!R62,IF(S62="Each",'Data input'!G62,IF(S62="m",Costs!P62,IF(S62="m2",Costs!Q62,""))))</f>
        <v/>
      </c>
      <c r="U62" s="4" t="str">
        <f>IF(ISNA(VLOOKUP('Data input'!D62,$B$2:$J$200,9,FALSE)),"",VLOOKUP('Data input'!D62,$B$2:$J$200,9,FALSE))</f>
        <v/>
      </c>
      <c r="V62" s="4" t="e">
        <f t="shared" si="5"/>
        <v>#VALUE!</v>
      </c>
      <c r="W62">
        <f>'Data input'!M62</f>
        <v>0</v>
      </c>
      <c r="X62" s="4">
        <f t="shared" si="19"/>
        <v>0</v>
      </c>
      <c r="Y62" s="4" t="e">
        <f t="shared" si="6"/>
        <v>#VALUE!</v>
      </c>
      <c r="Z62" s="4" t="str">
        <f>IF(ISNA(VLOOKUP('Data input'!D62,$B$2:$E$200,4,FALSE)),"",VLOOKUP('Data input'!D62,$B$2:$E$200,4,FALSE))</f>
        <v/>
      </c>
      <c r="AA62" s="4" t="e">
        <f t="shared" si="20"/>
        <v>#VALUE!</v>
      </c>
      <c r="AB62">
        <f>'Data input'!N62</f>
        <v>0</v>
      </c>
      <c r="AC62">
        <f t="shared" si="7"/>
        <v>0</v>
      </c>
      <c r="AD62" s="4">
        <f t="shared" si="8"/>
        <v>0</v>
      </c>
      <c r="AE62" s="6">
        <f t="shared" si="9"/>
        <v>0</v>
      </c>
    </row>
    <row r="63" spans="1:31" x14ac:dyDescent="0.35">
      <c r="A63" t="str">
        <f>Lists!A$2</f>
        <v>Insulation</v>
      </c>
      <c r="B63" t="s">
        <v>382</v>
      </c>
      <c r="C63" s="8" t="s">
        <v>362</v>
      </c>
      <c r="E63" s="136">
        <v>4.79</v>
      </c>
      <c r="F63" s="14">
        <f>SUMIF('Data input'!D3:D202,B63,$Q$3:$Q$202)</f>
        <v>0</v>
      </c>
      <c r="G63" s="4">
        <f>E63*F63</f>
        <v>0</v>
      </c>
      <c r="H63" s="136">
        <v>2.4300000000000002</v>
      </c>
      <c r="I63" s="136"/>
      <c r="J63" s="6">
        <f t="shared" si="21"/>
        <v>2.4300000000000002</v>
      </c>
      <c r="K63" s="6">
        <f t="shared" ref="K63:K124" si="22">F63*J63</f>
        <v>0</v>
      </c>
      <c r="L63" s="4">
        <f>SUMIF('Data input'!$D$3:$D$202,B63,$X$3:$X$202)</f>
        <v>0</v>
      </c>
      <c r="M63" s="4">
        <f>SUMIF('Data input'!$D$3:$D$202,B63,$AC$3:$AC$202)</f>
        <v>0</v>
      </c>
      <c r="N63" s="67">
        <f>SUMIF('Data input'!$D$3:$D$202,B63,$AD$3:$AD$202)</f>
        <v>0</v>
      </c>
      <c r="O63" s="30">
        <f>'Data input'!A63</f>
        <v>61</v>
      </c>
      <c r="P63" s="11">
        <f>'Data input'!G63*('Data input'!H63/1000)</f>
        <v>0</v>
      </c>
      <c r="Q63" s="11">
        <f>'Data input'!G63*('Data input'!H63/1000)*('Data input'!I63/1000)</f>
        <v>0</v>
      </c>
      <c r="R63" s="11">
        <f>'Data input'!G63*('Data input'!H63/1000)*('Data input'!I63/1000)*('Data input'!J63/1000)</f>
        <v>0</v>
      </c>
      <c r="S63" s="11" t="str">
        <f>IF(ISNA(VLOOKUP('Data input'!D63,$B$2:$C$200,2,FALSE)),"",VLOOKUP('Data input'!D63,$B$2:$C$200,2,FALSE))</f>
        <v/>
      </c>
      <c r="T63" s="11" t="str">
        <f>IF(S63="m3",Costs!R63,IF(S63="Each",'Data input'!G63,IF(S63="m",Costs!P63,IF(S63="m2",Costs!Q63,""))))</f>
        <v/>
      </c>
      <c r="U63" s="4" t="str">
        <f>IF(ISNA(VLOOKUP('Data input'!D63,$B$2:$J$200,9,FALSE)),"",VLOOKUP('Data input'!D63,$B$2:$J$200,9,FALSE))</f>
        <v/>
      </c>
      <c r="V63" s="4" t="e">
        <f t="shared" si="5"/>
        <v>#VALUE!</v>
      </c>
      <c r="W63">
        <f>'Data input'!M63</f>
        <v>0</v>
      </c>
      <c r="X63" s="4">
        <f t="shared" si="19"/>
        <v>0</v>
      </c>
      <c r="Y63" s="4" t="e">
        <f t="shared" si="6"/>
        <v>#VALUE!</v>
      </c>
      <c r="Z63" s="4" t="str">
        <f>IF(ISNA(VLOOKUP('Data input'!D63,$B$2:$E$200,4,FALSE)),"",VLOOKUP('Data input'!D63,$B$2:$E$200,4,FALSE))</f>
        <v/>
      </c>
      <c r="AA63" s="4" t="e">
        <f t="shared" si="20"/>
        <v>#VALUE!</v>
      </c>
      <c r="AB63">
        <f>'Data input'!N63</f>
        <v>0</v>
      </c>
      <c r="AC63">
        <f t="shared" si="7"/>
        <v>0</v>
      </c>
      <c r="AD63" s="4">
        <f t="shared" si="8"/>
        <v>0</v>
      </c>
      <c r="AE63" s="6">
        <f t="shared" si="9"/>
        <v>0</v>
      </c>
    </row>
    <row r="64" spans="1:31" x14ac:dyDescent="0.35">
      <c r="A64" t="str">
        <f>Lists!A$2</f>
        <v>Insulation</v>
      </c>
      <c r="B64" t="s">
        <v>383</v>
      </c>
      <c r="C64" s="8" t="s">
        <v>362</v>
      </c>
      <c r="E64" s="136">
        <f>E63*1.2</f>
        <v>5.7480000000000002</v>
      </c>
      <c r="F64" s="14">
        <f>SUMIF('Data input'!D$3:D$202,B64,$Q$3:$Q$202)</f>
        <v>0</v>
      </c>
      <c r="G64" s="4">
        <f t="shared" ref="G64:G70" si="23">E64*F64</f>
        <v>0</v>
      </c>
      <c r="H64" s="136">
        <f>H63</f>
        <v>2.4300000000000002</v>
      </c>
      <c r="I64" s="136"/>
      <c r="J64" s="6">
        <f t="shared" si="21"/>
        <v>2.4300000000000002</v>
      </c>
      <c r="K64" s="6">
        <f t="shared" si="22"/>
        <v>0</v>
      </c>
      <c r="L64" s="4">
        <f>SUMIF('Data input'!$D$3:$D$202,B64,$X$3:$X$202)</f>
        <v>0</v>
      </c>
      <c r="M64" s="4">
        <f>SUMIF('Data input'!$D$3:$D$202,B64,$AC$3:$AC$202)</f>
        <v>0</v>
      </c>
      <c r="N64" s="67">
        <f>SUMIF('Data input'!$D$3:$D$202,B64,$AD$3:$AD$202)</f>
        <v>0</v>
      </c>
      <c r="O64" s="30">
        <f>'Data input'!A64</f>
        <v>62</v>
      </c>
      <c r="P64" s="11">
        <f>'Data input'!G64*('Data input'!H64/1000)</f>
        <v>0</v>
      </c>
      <c r="Q64" s="11">
        <f>'Data input'!G64*('Data input'!H64/1000)*('Data input'!I64/1000)</f>
        <v>0</v>
      </c>
      <c r="R64" s="11">
        <f>'Data input'!G64*('Data input'!H64/1000)*('Data input'!I64/1000)*('Data input'!J64/1000)</f>
        <v>0</v>
      </c>
      <c r="S64" s="11" t="str">
        <f>IF(ISNA(VLOOKUP('Data input'!D64,$B$2:$C$200,2,FALSE)),"",VLOOKUP('Data input'!D64,$B$2:$C$200,2,FALSE))</f>
        <v/>
      </c>
      <c r="T64" s="11" t="str">
        <f>IF(S64="m3",Costs!R64,IF(S64="Each",'Data input'!G64,IF(S64="m",Costs!P64,IF(S64="m2",Costs!Q64,""))))</f>
        <v/>
      </c>
      <c r="U64" s="4" t="str">
        <f>IF(ISNA(VLOOKUP('Data input'!D64,$B$2:$J$200,9,FALSE)),"",VLOOKUP('Data input'!D64,$B$2:$J$200,9,FALSE))</f>
        <v/>
      </c>
      <c r="V64" s="4" t="e">
        <f t="shared" si="5"/>
        <v>#VALUE!</v>
      </c>
      <c r="W64">
        <f>'Data input'!M64</f>
        <v>0</v>
      </c>
      <c r="X64" s="4">
        <f t="shared" si="19"/>
        <v>0</v>
      </c>
      <c r="Y64" s="4" t="e">
        <f t="shared" si="6"/>
        <v>#VALUE!</v>
      </c>
      <c r="Z64" s="4" t="str">
        <f>IF(ISNA(VLOOKUP('Data input'!D64,$B$2:$E$200,4,FALSE)),"",VLOOKUP('Data input'!D64,$B$2:$E$200,4,FALSE))</f>
        <v/>
      </c>
      <c r="AA64" s="4" t="e">
        <f t="shared" si="20"/>
        <v>#VALUE!</v>
      </c>
      <c r="AB64">
        <f>'Data input'!N64</f>
        <v>0</v>
      </c>
      <c r="AC64">
        <f t="shared" si="7"/>
        <v>0</v>
      </c>
      <c r="AD64" s="4">
        <f t="shared" si="8"/>
        <v>0</v>
      </c>
      <c r="AE64" s="6">
        <f t="shared" si="9"/>
        <v>0</v>
      </c>
    </row>
    <row r="65" spans="1:31" x14ac:dyDescent="0.35">
      <c r="A65" t="str">
        <f>Lists!A$2</f>
        <v>Insulation</v>
      </c>
      <c r="B65" t="s">
        <v>384</v>
      </c>
      <c r="C65" s="8" t="s">
        <v>362</v>
      </c>
      <c r="E65" s="136">
        <v>22.58</v>
      </c>
      <c r="F65" s="14">
        <f>SUMIF('Data input'!D$3:D$202,B65,$Q$3:$Q$202)</f>
        <v>0</v>
      </c>
      <c r="G65" s="4">
        <f t="shared" si="23"/>
        <v>0</v>
      </c>
      <c r="H65" s="136">
        <v>3.38</v>
      </c>
      <c r="I65" s="136"/>
      <c r="J65" s="6">
        <f t="shared" si="21"/>
        <v>3.38</v>
      </c>
      <c r="K65" s="6">
        <f t="shared" si="22"/>
        <v>0</v>
      </c>
      <c r="L65" s="4">
        <f>SUMIF('Data input'!$D$3:$D$202,B65,$X$3:$X$202)</f>
        <v>0</v>
      </c>
      <c r="M65" s="4">
        <f>SUMIF('Data input'!$D$3:$D$202,B65,$AC$3:$AC$202)</f>
        <v>0</v>
      </c>
      <c r="N65" s="67">
        <f>SUMIF('Data input'!$D$3:$D$202,B65,$AD$3:$AD$202)</f>
        <v>0</v>
      </c>
      <c r="O65" s="30">
        <f>'Data input'!A65</f>
        <v>63</v>
      </c>
      <c r="P65" s="11">
        <f>'Data input'!G65*('Data input'!H65/1000)</f>
        <v>0</v>
      </c>
      <c r="Q65" s="11">
        <f>'Data input'!G65*('Data input'!H65/1000)*('Data input'!I65/1000)</f>
        <v>0</v>
      </c>
      <c r="R65" s="11">
        <f>'Data input'!G65*('Data input'!H65/1000)*('Data input'!I65/1000)*('Data input'!J65/1000)</f>
        <v>0</v>
      </c>
      <c r="S65" s="11" t="str">
        <f>IF(ISNA(VLOOKUP('Data input'!D65,$B$2:$C$200,2,FALSE)),"",VLOOKUP('Data input'!D65,$B$2:$C$200,2,FALSE))</f>
        <v/>
      </c>
      <c r="T65" s="11" t="str">
        <f>IF(S65="m3",Costs!R65,IF(S65="Each",'Data input'!G65,IF(S65="m",Costs!P65,IF(S65="m2",Costs!Q65,""))))</f>
        <v/>
      </c>
      <c r="U65" s="4" t="str">
        <f>IF(ISNA(VLOOKUP('Data input'!D65,$B$2:$J$200,9,FALSE)),"",VLOOKUP('Data input'!D65,$B$2:$J$200,9,FALSE))</f>
        <v/>
      </c>
      <c r="V65" s="4" t="e">
        <f t="shared" si="5"/>
        <v>#VALUE!</v>
      </c>
      <c r="W65">
        <f>'Data input'!M65</f>
        <v>0</v>
      </c>
      <c r="X65" s="4">
        <f t="shared" si="19"/>
        <v>0</v>
      </c>
      <c r="Y65" s="4" t="e">
        <f t="shared" si="6"/>
        <v>#VALUE!</v>
      </c>
      <c r="Z65" s="4" t="str">
        <f>IF(ISNA(VLOOKUP('Data input'!D65,$B$2:$E$200,4,FALSE)),"",VLOOKUP('Data input'!D65,$B$2:$E$200,4,FALSE))</f>
        <v/>
      </c>
      <c r="AA65" s="4" t="e">
        <f t="shared" si="20"/>
        <v>#VALUE!</v>
      </c>
      <c r="AB65">
        <f>'Data input'!N65</f>
        <v>0</v>
      </c>
      <c r="AC65">
        <f t="shared" si="7"/>
        <v>0</v>
      </c>
      <c r="AD65" s="4">
        <f t="shared" si="8"/>
        <v>0</v>
      </c>
      <c r="AE65" s="6">
        <f t="shared" si="9"/>
        <v>0</v>
      </c>
    </row>
    <row r="66" spans="1:31" x14ac:dyDescent="0.35">
      <c r="A66" t="str">
        <f>Lists!A$2</f>
        <v>Insulation</v>
      </c>
      <c r="B66" t="s">
        <v>385</v>
      </c>
      <c r="C66" s="8" t="s">
        <v>362</v>
      </c>
      <c r="E66" s="136">
        <v>62.38</v>
      </c>
      <c r="F66" s="14">
        <f>SUMIF('Data input'!D$3:D$202,B66,$Q$3:$Q$202)</f>
        <v>0</v>
      </c>
      <c r="G66" s="4">
        <f t="shared" si="23"/>
        <v>0</v>
      </c>
      <c r="H66" s="136">
        <v>4.2699999999999996</v>
      </c>
      <c r="I66" s="136"/>
      <c r="J66" s="6">
        <f t="shared" si="21"/>
        <v>4.2699999999999996</v>
      </c>
      <c r="K66" s="6">
        <f t="shared" si="22"/>
        <v>0</v>
      </c>
      <c r="L66" s="4">
        <f>SUMIF('Data input'!$D$3:$D$202,B66,$X$3:$X$202)</f>
        <v>0</v>
      </c>
      <c r="M66" s="4">
        <f>SUMIF('Data input'!$D$3:$D$202,B66,$AC$3:$AC$202)</f>
        <v>0</v>
      </c>
      <c r="N66" s="67">
        <f>SUMIF('Data input'!$D$3:$D$202,B66,$AD$3:$AD$202)</f>
        <v>0</v>
      </c>
      <c r="O66" s="30">
        <f>'Data input'!A66</f>
        <v>64</v>
      </c>
      <c r="P66" s="11">
        <f>'Data input'!G66*('Data input'!H66/1000)</f>
        <v>0</v>
      </c>
      <c r="Q66" s="11">
        <f>'Data input'!G66*('Data input'!H66/1000)*('Data input'!I66/1000)</f>
        <v>0</v>
      </c>
      <c r="R66" s="11">
        <f>'Data input'!G66*('Data input'!H66/1000)*('Data input'!I66/1000)*('Data input'!J66/1000)</f>
        <v>0</v>
      </c>
      <c r="S66" s="11" t="str">
        <f>IF(ISNA(VLOOKUP('Data input'!D66,$B$2:$C$200,2,FALSE)),"",VLOOKUP('Data input'!D66,$B$2:$C$200,2,FALSE))</f>
        <v/>
      </c>
      <c r="T66" s="11" t="str">
        <f>IF(S66="m3",Costs!R66,IF(S66="Each",'Data input'!G66,IF(S66="m",Costs!P66,IF(S66="m2",Costs!Q66,""))))</f>
        <v/>
      </c>
      <c r="U66" s="4" t="str">
        <f>IF(ISNA(VLOOKUP('Data input'!D66,$B$2:$J$200,9,FALSE)),"",VLOOKUP('Data input'!D66,$B$2:$J$200,9,FALSE))</f>
        <v/>
      </c>
      <c r="V66" s="4" t="e">
        <f t="shared" si="5"/>
        <v>#VALUE!</v>
      </c>
      <c r="W66">
        <f>'Data input'!M66</f>
        <v>0</v>
      </c>
      <c r="X66" s="4">
        <f t="shared" si="19"/>
        <v>0</v>
      </c>
      <c r="Y66" s="4" t="e">
        <f t="shared" si="6"/>
        <v>#VALUE!</v>
      </c>
      <c r="Z66" s="4" t="str">
        <f>IF(ISNA(VLOOKUP('Data input'!D66,$B$2:$E$200,4,FALSE)),"",VLOOKUP('Data input'!D66,$B$2:$E$200,4,FALSE))</f>
        <v/>
      </c>
      <c r="AA66" s="4" t="e">
        <f t="shared" si="20"/>
        <v>#VALUE!</v>
      </c>
      <c r="AB66">
        <f>'Data input'!N66</f>
        <v>0</v>
      </c>
      <c r="AC66">
        <f t="shared" si="7"/>
        <v>0</v>
      </c>
      <c r="AD66" s="4">
        <f t="shared" si="8"/>
        <v>0</v>
      </c>
      <c r="AE66" s="6">
        <f t="shared" si="9"/>
        <v>0</v>
      </c>
    </row>
    <row r="67" spans="1:31" x14ac:dyDescent="0.35">
      <c r="A67" t="str">
        <f>Lists!A$2</f>
        <v>Insulation</v>
      </c>
      <c r="B67" t="s">
        <v>386</v>
      </c>
      <c r="C67" s="8" t="s">
        <v>362</v>
      </c>
      <c r="E67" s="136">
        <v>14.24</v>
      </c>
      <c r="F67" s="14">
        <f>SUMIF('Data input'!D$3:D$202,B67,$Q$3:$Q$202)</f>
        <v>0</v>
      </c>
      <c r="G67" s="4">
        <f t="shared" si="23"/>
        <v>0</v>
      </c>
      <c r="H67" s="136">
        <v>8.7799999999999994</v>
      </c>
      <c r="I67" s="136"/>
      <c r="J67" s="6">
        <f t="shared" si="21"/>
        <v>8.7799999999999994</v>
      </c>
      <c r="K67" s="6">
        <f t="shared" si="22"/>
        <v>0</v>
      </c>
      <c r="L67" s="4">
        <f>SUMIF('Data input'!$D$3:$D$202,B67,$X$3:$X$202)</f>
        <v>0</v>
      </c>
      <c r="M67" s="4">
        <f>SUMIF('Data input'!$D$3:$D$202,B67,$AC$3:$AC$202)</f>
        <v>0</v>
      </c>
      <c r="N67" s="67">
        <f>SUMIF('Data input'!$D$3:$D$202,B67,$AD$3:$AD$202)</f>
        <v>0</v>
      </c>
      <c r="O67" s="30">
        <f>'Data input'!A67</f>
        <v>65</v>
      </c>
      <c r="P67" s="11">
        <f>'Data input'!G67*('Data input'!H67/1000)</f>
        <v>0</v>
      </c>
      <c r="Q67" s="11">
        <f>'Data input'!G67*('Data input'!H67/1000)*('Data input'!I67/1000)</f>
        <v>0</v>
      </c>
      <c r="R67" s="11">
        <f>'Data input'!G67*('Data input'!H67/1000)*('Data input'!I67/1000)*('Data input'!J67/1000)</f>
        <v>0</v>
      </c>
      <c r="S67" s="11" t="str">
        <f>IF(ISNA(VLOOKUP('Data input'!D67,$B$2:$C$200,2,FALSE)),"",VLOOKUP('Data input'!D67,$B$2:$C$200,2,FALSE))</f>
        <v/>
      </c>
      <c r="T67" s="11" t="str">
        <f>IF(S67="m3",Costs!R67,IF(S67="Each",'Data input'!G67,IF(S67="m",Costs!P67,IF(S67="m2",Costs!Q67,""))))</f>
        <v/>
      </c>
      <c r="U67" s="4" t="str">
        <f>IF(ISNA(VLOOKUP('Data input'!D67,$B$2:$J$200,9,FALSE)),"",VLOOKUP('Data input'!D67,$B$2:$J$200,9,FALSE))</f>
        <v/>
      </c>
      <c r="V67" s="4" t="e">
        <f t="shared" si="5"/>
        <v>#VALUE!</v>
      </c>
      <c r="W67">
        <f>'Data input'!M67</f>
        <v>0</v>
      </c>
      <c r="X67" s="4">
        <f t="shared" ref="X67:X98" si="24">SUMIF(W67,"Yes",V67)</f>
        <v>0</v>
      </c>
      <c r="Y67" s="4" t="e">
        <f t="shared" si="6"/>
        <v>#VALUE!</v>
      </c>
      <c r="Z67" s="4" t="str">
        <f>IF(ISNA(VLOOKUP('Data input'!D67,$B$2:$E$200,4,FALSE)),"",VLOOKUP('Data input'!D67,$B$2:$E$200,4,FALSE))</f>
        <v/>
      </c>
      <c r="AA67" s="4" t="e">
        <f t="shared" ref="AA67:AA98" si="25">T67*Z67</f>
        <v>#VALUE!</v>
      </c>
      <c r="AB67">
        <f>'Data input'!N67</f>
        <v>0</v>
      </c>
      <c r="AC67">
        <f t="shared" si="7"/>
        <v>0</v>
      </c>
      <c r="AD67" s="4">
        <f t="shared" si="8"/>
        <v>0</v>
      </c>
      <c r="AE67" s="6">
        <f t="shared" si="9"/>
        <v>0</v>
      </c>
    </row>
    <row r="68" spans="1:31" x14ac:dyDescent="0.35">
      <c r="A68" t="str">
        <f>Lists!A$2</f>
        <v>Insulation</v>
      </c>
      <c r="B68" t="s">
        <v>387</v>
      </c>
      <c r="C68" s="8" t="s">
        <v>362</v>
      </c>
      <c r="E68" s="136">
        <v>55.42</v>
      </c>
      <c r="F68" s="14">
        <f>SUMIF('Data input'!D$3:D$202,B68,$Q$3:$Q$202)</f>
        <v>0</v>
      </c>
      <c r="G68" s="4">
        <f t="shared" si="23"/>
        <v>0</v>
      </c>
      <c r="H68" s="136">
        <v>26.81</v>
      </c>
      <c r="I68" s="136"/>
      <c r="J68" s="6">
        <f t="shared" si="21"/>
        <v>26.81</v>
      </c>
      <c r="K68" s="6">
        <f t="shared" si="22"/>
        <v>0</v>
      </c>
      <c r="L68" s="4">
        <f>SUMIF('Data input'!$D$3:$D$202,B68,$X$3:$X$202)</f>
        <v>0</v>
      </c>
      <c r="M68" s="4">
        <f>SUMIF('Data input'!$D$3:$D$202,B68,$AC$3:$AC$202)</f>
        <v>0</v>
      </c>
      <c r="N68" s="67">
        <f>SUMIF('Data input'!$D$3:$D$202,B68,$AD$3:$AD$202)</f>
        <v>0</v>
      </c>
      <c r="O68" s="30">
        <f>'Data input'!A68</f>
        <v>66</v>
      </c>
      <c r="P68" s="11">
        <f>'Data input'!G68*('Data input'!H68/1000)</f>
        <v>0</v>
      </c>
      <c r="Q68" s="11">
        <f>'Data input'!G68*('Data input'!H68/1000)*('Data input'!I68/1000)</f>
        <v>0</v>
      </c>
      <c r="R68" s="11">
        <f>'Data input'!G68*('Data input'!H68/1000)*('Data input'!I68/1000)*('Data input'!J68/1000)</f>
        <v>0</v>
      </c>
      <c r="S68" s="11" t="str">
        <f>IF(ISNA(VLOOKUP('Data input'!D68,$B$2:$C$200,2,FALSE)),"",VLOOKUP('Data input'!D68,$B$2:$C$200,2,FALSE))</f>
        <v/>
      </c>
      <c r="T68" s="11" t="str">
        <f>IF(S68="m3",Costs!R68,IF(S68="Each",'Data input'!G68,IF(S68="m",Costs!P68,IF(S68="m2",Costs!Q68,""))))</f>
        <v/>
      </c>
      <c r="U68" s="4" t="str">
        <f>IF(ISNA(VLOOKUP('Data input'!D68,$B$2:$J$200,9,FALSE)),"",VLOOKUP('Data input'!D68,$B$2:$J$200,9,FALSE))</f>
        <v/>
      </c>
      <c r="V68" s="4" t="e">
        <f t="shared" ref="V68:V131" si="26">T68*U68</f>
        <v>#VALUE!</v>
      </c>
      <c r="W68">
        <f>'Data input'!M68</f>
        <v>0</v>
      </c>
      <c r="X68" s="4">
        <f t="shared" si="24"/>
        <v>0</v>
      </c>
      <c r="Y68" s="4" t="e">
        <f t="shared" ref="Y68:Y131" si="27">V68</f>
        <v>#VALUE!</v>
      </c>
      <c r="Z68" s="4" t="str">
        <f>IF(ISNA(VLOOKUP('Data input'!D68,$B$2:$E$200,4,FALSE)),"",VLOOKUP('Data input'!D68,$B$2:$E$200,4,FALSE))</f>
        <v/>
      </c>
      <c r="AA68" s="4" t="e">
        <f t="shared" si="25"/>
        <v>#VALUE!</v>
      </c>
      <c r="AB68">
        <f>'Data input'!N68</f>
        <v>0</v>
      </c>
      <c r="AC68">
        <f t="shared" ref="AC68:AC131" si="28">SUMIF(AB68,"Yes",Y68)</f>
        <v>0</v>
      </c>
      <c r="AD68" s="4">
        <f t="shared" ref="AD68:AD131" si="29">SUMIF(AB68,"Yes",AA68)</f>
        <v>0</v>
      </c>
      <c r="AE68" s="6">
        <f t="shared" ref="AE68:AE131" si="30">AC68+AD68</f>
        <v>0</v>
      </c>
    </row>
    <row r="69" spans="1:31" x14ac:dyDescent="0.35">
      <c r="A69" t="str">
        <f>Lists!A$2</f>
        <v>Insulation</v>
      </c>
      <c r="B69" t="s">
        <v>388</v>
      </c>
      <c r="C69" s="8" t="s">
        <v>362</v>
      </c>
      <c r="E69" s="136">
        <v>6.71</v>
      </c>
      <c r="F69" s="14">
        <f>SUMIF('Data input'!D$3:D$202,B69,$Q$3:$Q$202)</f>
        <v>0</v>
      </c>
      <c r="G69" s="4">
        <f t="shared" si="23"/>
        <v>0</v>
      </c>
      <c r="H69" s="136">
        <v>2.4300000000000002</v>
      </c>
      <c r="I69" s="136"/>
      <c r="J69" s="6">
        <f t="shared" si="21"/>
        <v>2.4300000000000002</v>
      </c>
      <c r="K69" s="6">
        <f t="shared" si="22"/>
        <v>0</v>
      </c>
      <c r="L69" s="4">
        <f>SUMIF('Data input'!$D$3:$D$202,B69,$X$3:$X$202)</f>
        <v>0</v>
      </c>
      <c r="M69" s="4">
        <f>SUMIF('Data input'!$D$3:$D$202,B69,$AC$3:$AC$202)</f>
        <v>0</v>
      </c>
      <c r="N69" s="67">
        <f>SUMIF('Data input'!$D$3:$D$202,B69,$AD$3:$AD$202)</f>
        <v>0</v>
      </c>
      <c r="O69" s="30">
        <f>'Data input'!A69</f>
        <v>67</v>
      </c>
      <c r="P69" s="11">
        <f>'Data input'!G69*('Data input'!H69/1000)</f>
        <v>0</v>
      </c>
      <c r="Q69" s="11">
        <f>'Data input'!G69*('Data input'!H69/1000)*('Data input'!I69/1000)</f>
        <v>0</v>
      </c>
      <c r="R69" s="11">
        <f>'Data input'!G69*('Data input'!H69/1000)*('Data input'!I69/1000)*('Data input'!J69/1000)</f>
        <v>0</v>
      </c>
      <c r="S69" s="11" t="str">
        <f>IF(ISNA(VLOOKUP('Data input'!D69,$B$2:$C$200,2,FALSE)),"",VLOOKUP('Data input'!D69,$B$2:$C$200,2,FALSE))</f>
        <v/>
      </c>
      <c r="T69" s="11" t="str">
        <f>IF(S69="m3",Costs!R69,IF(S69="Each",'Data input'!G69,IF(S69="m",Costs!P69,IF(S69="m2",Costs!Q69,""))))</f>
        <v/>
      </c>
      <c r="U69" s="4" t="str">
        <f>IF(ISNA(VLOOKUP('Data input'!D69,$B$2:$J$200,9,FALSE)),"",VLOOKUP('Data input'!D69,$B$2:$J$200,9,FALSE))</f>
        <v/>
      </c>
      <c r="V69" s="4" t="e">
        <f t="shared" si="26"/>
        <v>#VALUE!</v>
      </c>
      <c r="W69">
        <f>'Data input'!M69</f>
        <v>0</v>
      </c>
      <c r="X69" s="4">
        <f t="shared" si="24"/>
        <v>0</v>
      </c>
      <c r="Y69" s="4" t="e">
        <f t="shared" si="27"/>
        <v>#VALUE!</v>
      </c>
      <c r="Z69" s="4" t="str">
        <f>IF(ISNA(VLOOKUP('Data input'!D69,$B$2:$E$200,4,FALSE)),"",VLOOKUP('Data input'!D69,$B$2:$E$200,4,FALSE))</f>
        <v/>
      </c>
      <c r="AA69" s="4" t="e">
        <f t="shared" si="25"/>
        <v>#VALUE!</v>
      </c>
      <c r="AB69">
        <f>'Data input'!N69</f>
        <v>0</v>
      </c>
      <c r="AC69">
        <f t="shared" si="28"/>
        <v>0</v>
      </c>
      <c r="AD69" s="4">
        <f t="shared" si="29"/>
        <v>0</v>
      </c>
      <c r="AE69" s="6">
        <f t="shared" si="30"/>
        <v>0</v>
      </c>
    </row>
    <row r="70" spans="1:31" x14ac:dyDescent="0.35">
      <c r="A70" t="str">
        <f>Lists!A$3</f>
        <v>Concrete</v>
      </c>
      <c r="B70" t="s">
        <v>389</v>
      </c>
      <c r="C70" s="8" t="s">
        <v>352</v>
      </c>
      <c r="E70" s="136">
        <f>E75</f>
        <v>56.818030303030298</v>
      </c>
      <c r="F70" s="14">
        <f>SUMIF('Data input'!D$3:D$202,B70,$P$3:$P$202)</f>
        <v>0</v>
      </c>
      <c r="G70" s="4">
        <f t="shared" si="23"/>
        <v>0</v>
      </c>
      <c r="H70" s="136">
        <v>10.74030303030303</v>
      </c>
      <c r="I70" s="136"/>
      <c r="J70" s="6">
        <f t="shared" si="21"/>
        <v>10.74030303030303</v>
      </c>
      <c r="K70" s="6">
        <f t="shared" si="22"/>
        <v>0</v>
      </c>
      <c r="L70" s="4">
        <f>SUMIF('Data input'!$D$3:$D$202,B70,$X$3:$X$202)</f>
        <v>0</v>
      </c>
      <c r="M70" s="4">
        <f>SUMIF('Data input'!$D$3:$D$202,B70,$AC$3:$AC$202)</f>
        <v>0</v>
      </c>
      <c r="N70" s="67">
        <f>SUMIF('Data input'!$D$3:$D$202,B70,$AD$3:$AD$202)</f>
        <v>0</v>
      </c>
      <c r="O70" s="30">
        <f>'Data input'!A70</f>
        <v>68</v>
      </c>
      <c r="P70" s="11">
        <f>'Data input'!G70*('Data input'!H70/1000)</f>
        <v>0</v>
      </c>
      <c r="Q70" s="11">
        <f>'Data input'!G70*('Data input'!H70/1000)*('Data input'!I70/1000)</f>
        <v>0</v>
      </c>
      <c r="R70" s="11">
        <f>'Data input'!G70*('Data input'!H70/1000)*('Data input'!I70/1000)*('Data input'!J70/1000)</f>
        <v>0</v>
      </c>
      <c r="S70" s="11" t="str">
        <f>IF(ISNA(VLOOKUP('Data input'!D70,$B$2:$C$200,2,FALSE)),"",VLOOKUP('Data input'!D70,$B$2:$C$200,2,FALSE))</f>
        <v/>
      </c>
      <c r="T70" s="11" t="str">
        <f>IF(S70="m3",Costs!R70,IF(S70="Each",'Data input'!G70,IF(S70="m",Costs!P70,IF(S70="m2",Costs!Q70,""))))</f>
        <v/>
      </c>
      <c r="U70" s="4" t="str">
        <f>IF(ISNA(VLOOKUP('Data input'!D70,$B$2:$J$200,9,FALSE)),"",VLOOKUP('Data input'!D70,$B$2:$J$200,9,FALSE))</f>
        <v/>
      </c>
      <c r="V70" s="4" t="e">
        <f t="shared" si="26"/>
        <v>#VALUE!</v>
      </c>
      <c r="W70">
        <f>'Data input'!M70</f>
        <v>0</v>
      </c>
      <c r="X70" s="4">
        <f t="shared" si="24"/>
        <v>0</v>
      </c>
      <c r="Y70" s="4" t="e">
        <f t="shared" si="27"/>
        <v>#VALUE!</v>
      </c>
      <c r="Z70" s="4" t="str">
        <f>IF(ISNA(VLOOKUP('Data input'!D70,$B$2:$E$200,4,FALSE)),"",VLOOKUP('Data input'!D70,$B$2:$E$200,4,FALSE))</f>
        <v/>
      </c>
      <c r="AA70" s="4" t="e">
        <f t="shared" si="25"/>
        <v>#VALUE!</v>
      </c>
      <c r="AB70">
        <f>'Data input'!N70</f>
        <v>0</v>
      </c>
      <c r="AC70">
        <f t="shared" si="28"/>
        <v>0</v>
      </c>
      <c r="AD70" s="4">
        <f t="shared" si="29"/>
        <v>0</v>
      </c>
      <c r="AE70" s="6">
        <f t="shared" si="30"/>
        <v>0</v>
      </c>
    </row>
    <row r="71" spans="1:31" x14ac:dyDescent="0.35">
      <c r="A71" t="str">
        <f>Lists!A$3</f>
        <v>Concrete</v>
      </c>
      <c r="B71" t="s">
        <v>390</v>
      </c>
      <c r="C71" s="8" t="s">
        <v>372</v>
      </c>
      <c r="E71" s="136">
        <f>AVERAGE(E72:E74)</f>
        <v>97.346262626262629</v>
      </c>
      <c r="F71" s="14">
        <f>SUMIF('Data input'!D$3:D$202,B71,$R$3:$R$202)</f>
        <v>0</v>
      </c>
      <c r="G71" s="4">
        <f>E71*F71</f>
        <v>0</v>
      </c>
      <c r="H71" s="136">
        <v>16.587575757575756</v>
      </c>
      <c r="I71" s="136"/>
      <c r="J71" s="6">
        <f t="shared" si="21"/>
        <v>16.587575757575756</v>
      </c>
      <c r="K71" s="6">
        <f t="shared" si="22"/>
        <v>0</v>
      </c>
      <c r="L71" s="4">
        <f>SUMIF('Data input'!$D$3:$D$202,B71,$X$3:$X$202)</f>
        <v>0</v>
      </c>
      <c r="M71" s="4">
        <f>SUMIF('Data input'!$D$3:$D$202,B71,$AC$3:$AC$202)</f>
        <v>0</v>
      </c>
      <c r="N71" s="67">
        <f>SUMIF('Data input'!$D$3:$D$202,B71,$AD$3:$AD$202)</f>
        <v>0</v>
      </c>
      <c r="O71" s="30">
        <f>'Data input'!A71</f>
        <v>69</v>
      </c>
      <c r="P71" s="11">
        <f>'Data input'!G71*('Data input'!H71/1000)</f>
        <v>0</v>
      </c>
      <c r="Q71" s="11">
        <f>'Data input'!G71*('Data input'!H71/1000)*('Data input'!I71/1000)</f>
        <v>0</v>
      </c>
      <c r="R71" s="11">
        <f>'Data input'!G71*('Data input'!H71/1000)*('Data input'!I71/1000)*('Data input'!J71/1000)</f>
        <v>0</v>
      </c>
      <c r="S71" s="11" t="str">
        <f>IF(ISNA(VLOOKUP('Data input'!D71,$B$2:$C$200,2,FALSE)),"",VLOOKUP('Data input'!D71,$B$2:$C$200,2,FALSE))</f>
        <v/>
      </c>
      <c r="T71" s="11" t="str">
        <f>IF(S71="m3",Costs!R71,IF(S71="Each",'Data input'!G71,IF(S71="m",Costs!P71,IF(S71="m2",Costs!Q71,""))))</f>
        <v/>
      </c>
      <c r="U71" s="4" t="str">
        <f>IF(ISNA(VLOOKUP('Data input'!D71,$B$2:$J$200,9,FALSE)),"",VLOOKUP('Data input'!D71,$B$2:$J$200,9,FALSE))</f>
        <v/>
      </c>
      <c r="V71" s="4" t="e">
        <f t="shared" si="26"/>
        <v>#VALUE!</v>
      </c>
      <c r="W71">
        <f>'Data input'!M71</f>
        <v>0</v>
      </c>
      <c r="X71" s="4">
        <f t="shared" si="24"/>
        <v>0</v>
      </c>
      <c r="Y71" s="4" t="e">
        <f t="shared" si="27"/>
        <v>#VALUE!</v>
      </c>
      <c r="Z71" s="4" t="str">
        <f>IF(ISNA(VLOOKUP('Data input'!D71,$B$2:$E$200,4,FALSE)),"",VLOOKUP('Data input'!D71,$B$2:$E$200,4,FALSE))</f>
        <v/>
      </c>
      <c r="AA71" s="4" t="e">
        <f t="shared" si="25"/>
        <v>#VALUE!</v>
      </c>
      <c r="AB71">
        <f>'Data input'!N71</f>
        <v>0</v>
      </c>
      <c r="AC71">
        <f t="shared" si="28"/>
        <v>0</v>
      </c>
      <c r="AD71" s="4">
        <f t="shared" si="29"/>
        <v>0</v>
      </c>
      <c r="AE71" s="6">
        <f t="shared" si="30"/>
        <v>0</v>
      </c>
    </row>
    <row r="72" spans="1:31" x14ac:dyDescent="0.35">
      <c r="A72" t="str">
        <f>Lists!A$3</f>
        <v>Concrete</v>
      </c>
      <c r="B72" t="s">
        <v>391</v>
      </c>
      <c r="C72" s="9" t="s">
        <v>372</v>
      </c>
      <c r="E72" s="136">
        <v>90.6428787878788</v>
      </c>
      <c r="F72" s="14">
        <f>SUMIF('Data input'!D$3:D$202,B72,$R$3:$R$202)</f>
        <v>0</v>
      </c>
      <c r="G72" s="4">
        <f t="shared" ref="G72:G75" si="31">E72*F72</f>
        <v>0</v>
      </c>
      <c r="H72" s="136">
        <v>16.587575757575756</v>
      </c>
      <c r="I72" s="136"/>
      <c r="J72" s="6">
        <f t="shared" si="21"/>
        <v>16.587575757575756</v>
      </c>
      <c r="K72" s="6">
        <f t="shared" si="22"/>
        <v>0</v>
      </c>
      <c r="L72" s="4">
        <f>SUMIF('Data input'!$D$3:$D$202,B72,$X$3:$X$202)</f>
        <v>0</v>
      </c>
      <c r="M72" s="4">
        <f>SUMIF('Data input'!$D$3:$D$202,B72,$AC$3:$AC$202)</f>
        <v>0</v>
      </c>
      <c r="N72" s="67">
        <f>SUMIF('Data input'!$D$3:$D$202,B72,$AD$3:$AD$202)</f>
        <v>0</v>
      </c>
      <c r="O72" s="30">
        <f>'Data input'!A72</f>
        <v>70</v>
      </c>
      <c r="P72" s="11">
        <f>'Data input'!G72*('Data input'!H72/1000)</f>
        <v>0</v>
      </c>
      <c r="Q72" s="11">
        <f>'Data input'!G72*('Data input'!H72/1000)*('Data input'!I72/1000)</f>
        <v>0</v>
      </c>
      <c r="R72" s="11">
        <f>'Data input'!G72*('Data input'!H72/1000)*('Data input'!I72/1000)*('Data input'!J72/1000)</f>
        <v>0</v>
      </c>
      <c r="S72" s="11" t="str">
        <f>IF(ISNA(VLOOKUP('Data input'!D72,$B$2:$C$200,2,FALSE)),"",VLOOKUP('Data input'!D72,$B$2:$C$200,2,FALSE))</f>
        <v/>
      </c>
      <c r="T72" s="11" t="str">
        <f>IF(S72="m3",Costs!R72,IF(S72="Each",'Data input'!G72,IF(S72="m",Costs!P72,IF(S72="m2",Costs!Q72,""))))</f>
        <v/>
      </c>
      <c r="U72" s="4" t="str">
        <f>IF(ISNA(VLOOKUP('Data input'!D72,$B$2:$J$200,9,FALSE)),"",VLOOKUP('Data input'!D72,$B$2:$J$200,9,FALSE))</f>
        <v/>
      </c>
      <c r="V72" s="4" t="e">
        <f t="shared" si="26"/>
        <v>#VALUE!</v>
      </c>
      <c r="W72">
        <f>'Data input'!M72</f>
        <v>0</v>
      </c>
      <c r="X72" s="4">
        <f t="shared" si="24"/>
        <v>0</v>
      </c>
      <c r="Y72" s="4" t="e">
        <f t="shared" si="27"/>
        <v>#VALUE!</v>
      </c>
      <c r="Z72" s="4" t="str">
        <f>IF(ISNA(VLOOKUP('Data input'!D72,$B$2:$E$200,4,FALSE)),"",VLOOKUP('Data input'!D72,$B$2:$E$200,4,FALSE))</f>
        <v/>
      </c>
      <c r="AA72" s="4" t="e">
        <f t="shared" si="25"/>
        <v>#VALUE!</v>
      </c>
      <c r="AB72">
        <f>'Data input'!N72</f>
        <v>0</v>
      </c>
      <c r="AC72">
        <f t="shared" si="28"/>
        <v>0</v>
      </c>
      <c r="AD72" s="4">
        <f t="shared" si="29"/>
        <v>0</v>
      </c>
      <c r="AE72" s="6">
        <f t="shared" si="30"/>
        <v>0</v>
      </c>
    </row>
    <row r="73" spans="1:31" x14ac:dyDescent="0.35">
      <c r="A73" t="str">
        <f>Lists!A$3</f>
        <v>Concrete</v>
      </c>
      <c r="B73" t="s">
        <v>392</v>
      </c>
      <c r="C73" s="9" t="s">
        <v>372</v>
      </c>
      <c r="E73" s="136">
        <v>100.07363636363635</v>
      </c>
      <c r="F73" s="14">
        <f>SUMIF('Data input'!D$3:D$202,B73,$R$3:$R$202)</f>
        <v>0</v>
      </c>
      <c r="G73" s="4">
        <f t="shared" si="31"/>
        <v>0</v>
      </c>
      <c r="H73" s="136">
        <v>16.587575757575756</v>
      </c>
      <c r="I73" s="136"/>
      <c r="J73" s="6">
        <f t="shared" si="21"/>
        <v>16.587575757575756</v>
      </c>
      <c r="K73" s="6">
        <f t="shared" si="22"/>
        <v>0</v>
      </c>
      <c r="L73" s="4">
        <f>SUMIF('Data input'!$D$3:$D$202,B73,$X$3:$X$202)</f>
        <v>0</v>
      </c>
      <c r="M73" s="4">
        <f>SUMIF('Data input'!$D$3:$D$202,B73,$AC$3:$AC$202)</f>
        <v>0</v>
      </c>
      <c r="N73" s="67">
        <f>SUMIF('Data input'!$D$3:$D$202,B73,$AD$3:$AD$202)</f>
        <v>0</v>
      </c>
      <c r="O73" s="30">
        <f>'Data input'!A73</f>
        <v>71</v>
      </c>
      <c r="P73" s="11">
        <f>'Data input'!G73*('Data input'!H73/1000)</f>
        <v>0</v>
      </c>
      <c r="Q73" s="11">
        <f>'Data input'!G73*('Data input'!H73/1000)*('Data input'!I73/1000)</f>
        <v>0</v>
      </c>
      <c r="R73" s="11">
        <f>'Data input'!G73*('Data input'!H73/1000)*('Data input'!I73/1000)*('Data input'!J73/1000)</f>
        <v>0</v>
      </c>
      <c r="S73" s="11" t="str">
        <f>IF(ISNA(VLOOKUP('Data input'!D73,$B$2:$C$200,2,FALSE)),"",VLOOKUP('Data input'!D73,$B$2:$C$200,2,FALSE))</f>
        <v/>
      </c>
      <c r="T73" s="11" t="str">
        <f>IF(S73="m3",Costs!R73,IF(S73="Each",'Data input'!G73,IF(S73="m",Costs!P73,IF(S73="m2",Costs!Q73,""))))</f>
        <v/>
      </c>
      <c r="U73" s="4" t="str">
        <f>IF(ISNA(VLOOKUP('Data input'!D73,$B$2:$J$200,9,FALSE)),"",VLOOKUP('Data input'!D73,$B$2:$J$200,9,FALSE))</f>
        <v/>
      </c>
      <c r="V73" s="4" t="e">
        <f t="shared" si="26"/>
        <v>#VALUE!</v>
      </c>
      <c r="W73">
        <f>'Data input'!M73</f>
        <v>0</v>
      </c>
      <c r="X73" s="4">
        <f t="shared" si="24"/>
        <v>0</v>
      </c>
      <c r="Y73" s="4" t="e">
        <f t="shared" si="27"/>
        <v>#VALUE!</v>
      </c>
      <c r="Z73" s="4" t="str">
        <f>IF(ISNA(VLOOKUP('Data input'!D73,$B$2:$E$200,4,FALSE)),"",VLOOKUP('Data input'!D73,$B$2:$E$200,4,FALSE))</f>
        <v/>
      </c>
      <c r="AA73" s="4" t="e">
        <f t="shared" si="25"/>
        <v>#VALUE!</v>
      </c>
      <c r="AB73">
        <f>'Data input'!N73</f>
        <v>0</v>
      </c>
      <c r="AC73">
        <f t="shared" si="28"/>
        <v>0</v>
      </c>
      <c r="AD73" s="4">
        <f t="shared" si="29"/>
        <v>0</v>
      </c>
      <c r="AE73" s="6">
        <f t="shared" si="30"/>
        <v>0</v>
      </c>
    </row>
    <row r="74" spans="1:31" x14ac:dyDescent="0.35">
      <c r="A74" t="str">
        <f>Lists!A$3</f>
        <v>Concrete</v>
      </c>
      <c r="B74" t="s">
        <v>393</v>
      </c>
      <c r="C74" s="9" t="s">
        <v>372</v>
      </c>
      <c r="E74" s="136">
        <v>101.32227272727273</v>
      </c>
      <c r="F74" s="14">
        <f>SUMIF('Data input'!D$3:D$202,B74,$R$3:$R$202)</f>
        <v>0</v>
      </c>
      <c r="G74" s="4">
        <f t="shared" si="31"/>
        <v>0</v>
      </c>
      <c r="H74" s="136">
        <v>16.587575757575756</v>
      </c>
      <c r="I74" s="136"/>
      <c r="J74" s="6">
        <f t="shared" si="21"/>
        <v>16.587575757575756</v>
      </c>
      <c r="K74" s="6">
        <f t="shared" si="22"/>
        <v>0</v>
      </c>
      <c r="L74" s="4">
        <f>SUMIF('Data input'!$D$3:$D$202,B74,$X$3:$X$202)</f>
        <v>0</v>
      </c>
      <c r="M74" s="4">
        <f>SUMIF('Data input'!$D$3:$D$202,B74,$AC$3:$AC$202)</f>
        <v>0</v>
      </c>
      <c r="N74" s="67">
        <f>SUMIF('Data input'!$D$3:$D$202,B74,$AD$3:$AD$202)</f>
        <v>0</v>
      </c>
      <c r="O74" s="30">
        <f>'Data input'!A74</f>
        <v>72</v>
      </c>
      <c r="P74" s="11">
        <f>'Data input'!G74*('Data input'!H74/1000)</f>
        <v>0</v>
      </c>
      <c r="Q74" s="11">
        <f>'Data input'!G74*('Data input'!H74/1000)*('Data input'!I74/1000)</f>
        <v>0</v>
      </c>
      <c r="R74" s="11">
        <f>'Data input'!G74*('Data input'!H74/1000)*('Data input'!I74/1000)*('Data input'!J74/1000)</f>
        <v>0</v>
      </c>
      <c r="S74" s="11" t="str">
        <f>IF(ISNA(VLOOKUP('Data input'!D74,$B$2:$C$200,2,FALSE)),"",VLOOKUP('Data input'!D74,$B$2:$C$200,2,FALSE))</f>
        <v/>
      </c>
      <c r="T74" s="11" t="str">
        <f>IF(S74="m3",Costs!R74,IF(S74="Each",'Data input'!G74,IF(S74="m",Costs!P74,IF(S74="m2",Costs!Q74,""))))</f>
        <v/>
      </c>
      <c r="U74" s="4" t="str">
        <f>IF(ISNA(VLOOKUP('Data input'!D74,$B$2:$J$200,9,FALSE)),"",VLOOKUP('Data input'!D74,$B$2:$J$200,9,FALSE))</f>
        <v/>
      </c>
      <c r="V74" s="4" t="e">
        <f t="shared" si="26"/>
        <v>#VALUE!</v>
      </c>
      <c r="W74">
        <f>'Data input'!M74</f>
        <v>0</v>
      </c>
      <c r="X74" s="4">
        <f t="shared" si="24"/>
        <v>0</v>
      </c>
      <c r="Y74" s="4" t="e">
        <f t="shared" si="27"/>
        <v>#VALUE!</v>
      </c>
      <c r="Z74" s="4" t="str">
        <f>IF(ISNA(VLOOKUP('Data input'!D74,$B$2:$E$200,4,FALSE)),"",VLOOKUP('Data input'!D74,$B$2:$E$200,4,FALSE))</f>
        <v/>
      </c>
      <c r="AA74" s="4" t="e">
        <f t="shared" si="25"/>
        <v>#VALUE!</v>
      </c>
      <c r="AB74">
        <f>'Data input'!N74</f>
        <v>0</v>
      </c>
      <c r="AC74">
        <f t="shared" si="28"/>
        <v>0</v>
      </c>
      <c r="AD74" s="4">
        <f t="shared" si="29"/>
        <v>0</v>
      </c>
      <c r="AE74" s="6">
        <f t="shared" si="30"/>
        <v>0</v>
      </c>
    </row>
    <row r="75" spans="1:31" x14ac:dyDescent="0.35">
      <c r="A75" t="str">
        <f>Lists!A$3</f>
        <v>Concrete</v>
      </c>
      <c r="B75" t="s">
        <v>394</v>
      </c>
      <c r="C75" s="9" t="s">
        <v>362</v>
      </c>
      <c r="E75" s="136">
        <v>56.818030303030298</v>
      </c>
      <c r="F75" s="14">
        <f>SUMIF('Data input'!D$3:D$202,B75,$Q$3:$Q$202)</f>
        <v>0</v>
      </c>
      <c r="G75" s="4">
        <f t="shared" si="31"/>
        <v>0</v>
      </c>
      <c r="H75" s="136">
        <v>10.74030303030303</v>
      </c>
      <c r="I75" s="136"/>
      <c r="J75" s="6">
        <f t="shared" si="21"/>
        <v>10.74030303030303</v>
      </c>
      <c r="K75" s="6">
        <f t="shared" si="22"/>
        <v>0</v>
      </c>
      <c r="L75" s="4">
        <f>SUMIF('Data input'!$D$3:$D$202,B75,$X$3:$X$202)</f>
        <v>0</v>
      </c>
      <c r="M75" s="4">
        <f>SUMIF('Data input'!$D$3:$D$202,B75,$AC$3:$AC$202)</f>
        <v>0</v>
      </c>
      <c r="N75" s="67">
        <f>SUMIF('Data input'!$D$3:$D$202,B75,$AD$3:$AD$202)</f>
        <v>0</v>
      </c>
      <c r="O75" s="30">
        <f>'Data input'!A75</f>
        <v>73</v>
      </c>
      <c r="P75" s="11">
        <f>'Data input'!G75*('Data input'!H75/1000)</f>
        <v>0</v>
      </c>
      <c r="Q75" s="11">
        <f>'Data input'!G75*('Data input'!H75/1000)*('Data input'!I75/1000)</f>
        <v>0</v>
      </c>
      <c r="R75" s="11">
        <f>'Data input'!G75*('Data input'!H75/1000)*('Data input'!I75/1000)*('Data input'!J75/1000)</f>
        <v>0</v>
      </c>
      <c r="S75" s="11" t="str">
        <f>IF(ISNA(VLOOKUP('Data input'!D75,$B$2:$C$200,2,FALSE)),"",VLOOKUP('Data input'!D75,$B$2:$C$200,2,FALSE))</f>
        <v/>
      </c>
      <c r="T75" s="11" t="str">
        <f>IF(S75="m3",Costs!R75,IF(S75="Each",'Data input'!G75,IF(S75="m",Costs!P75,IF(S75="m2",Costs!Q75,""))))</f>
        <v/>
      </c>
      <c r="U75" s="4" t="str">
        <f>IF(ISNA(VLOOKUP('Data input'!D75,$B$2:$J$200,9,FALSE)),"",VLOOKUP('Data input'!D75,$B$2:$J$200,9,FALSE))</f>
        <v/>
      </c>
      <c r="V75" s="4" t="e">
        <f t="shared" si="26"/>
        <v>#VALUE!</v>
      </c>
      <c r="W75">
        <f>'Data input'!M75</f>
        <v>0</v>
      </c>
      <c r="X75" s="4">
        <f t="shared" si="24"/>
        <v>0</v>
      </c>
      <c r="Y75" s="4" t="e">
        <f t="shared" si="27"/>
        <v>#VALUE!</v>
      </c>
      <c r="Z75" s="4" t="str">
        <f>IF(ISNA(VLOOKUP('Data input'!D75,$B$2:$E$200,4,FALSE)),"",VLOOKUP('Data input'!D75,$B$2:$E$200,4,FALSE))</f>
        <v/>
      </c>
      <c r="AA75" s="4" t="e">
        <f t="shared" si="25"/>
        <v>#VALUE!</v>
      </c>
      <c r="AB75">
        <f>'Data input'!N75</f>
        <v>0</v>
      </c>
      <c r="AC75">
        <f t="shared" si="28"/>
        <v>0</v>
      </c>
      <c r="AD75" s="4">
        <f t="shared" si="29"/>
        <v>0</v>
      </c>
      <c r="AE75" s="6">
        <f t="shared" si="30"/>
        <v>0</v>
      </c>
    </row>
    <row r="76" spans="1:31" x14ac:dyDescent="0.35">
      <c r="A76" t="str">
        <f>Lists!A$4</f>
        <v>Bricks</v>
      </c>
      <c r="B76" t="s">
        <v>395</v>
      </c>
      <c r="C76" s="8" t="s">
        <v>342</v>
      </c>
      <c r="E76" s="137">
        <v>0.7</v>
      </c>
      <c r="F76" s="14">
        <f>SUMIF('Data input'!D$3:D$202,B76,'Data input'!G$3:G$202)</f>
        <v>0</v>
      </c>
      <c r="G76" s="4">
        <f>E76*F76</f>
        <v>0</v>
      </c>
      <c r="H76" s="136">
        <v>1</v>
      </c>
      <c r="I76" s="136"/>
      <c r="J76" s="6">
        <f t="shared" si="21"/>
        <v>1</v>
      </c>
      <c r="K76" s="6">
        <f t="shared" si="22"/>
        <v>0</v>
      </c>
      <c r="L76" s="4">
        <f>SUMIF('Data input'!$D$3:$D$202,B76,$X$3:$X$202)</f>
        <v>0</v>
      </c>
      <c r="M76" s="4">
        <f>SUMIF('Data input'!$D$3:$D$202,B76,$AC$3:$AC$202)</f>
        <v>0</v>
      </c>
      <c r="N76" s="67">
        <f>SUMIF('Data input'!$D$3:$D$202,B76,$AD$3:$AD$202)</f>
        <v>0</v>
      </c>
      <c r="O76" s="30">
        <f>'Data input'!A76</f>
        <v>74</v>
      </c>
      <c r="P76" s="11">
        <f>'Data input'!G76*('Data input'!H76/1000)</f>
        <v>0</v>
      </c>
      <c r="Q76" s="11">
        <f>'Data input'!G76*('Data input'!H76/1000)*('Data input'!I76/1000)</f>
        <v>0</v>
      </c>
      <c r="R76" s="11">
        <f>'Data input'!G76*('Data input'!H76/1000)*('Data input'!I76/1000)*('Data input'!J76/1000)</f>
        <v>0</v>
      </c>
      <c r="S76" s="11" t="str">
        <f>IF(ISNA(VLOOKUP('Data input'!D76,$B$2:$C$200,2,FALSE)),"",VLOOKUP('Data input'!D76,$B$2:$C$200,2,FALSE))</f>
        <v/>
      </c>
      <c r="T76" s="11" t="str">
        <f>IF(S76="m3",Costs!R76,IF(S76="Each",'Data input'!G76,IF(S76="m",Costs!P76,IF(S76="m2",Costs!Q76,""))))</f>
        <v/>
      </c>
      <c r="U76" s="4" t="str">
        <f>IF(ISNA(VLOOKUP('Data input'!D76,$B$2:$J$200,9,FALSE)),"",VLOOKUP('Data input'!D76,$B$2:$J$200,9,FALSE))</f>
        <v/>
      </c>
      <c r="V76" s="4" t="e">
        <f t="shared" si="26"/>
        <v>#VALUE!</v>
      </c>
      <c r="W76">
        <f>'Data input'!M76</f>
        <v>0</v>
      </c>
      <c r="X76" s="4">
        <f t="shared" si="24"/>
        <v>0</v>
      </c>
      <c r="Y76" s="4" t="e">
        <f t="shared" si="27"/>
        <v>#VALUE!</v>
      </c>
      <c r="Z76" s="4" t="str">
        <f>IF(ISNA(VLOOKUP('Data input'!D76,$B$2:$E$200,4,FALSE)),"",VLOOKUP('Data input'!D76,$B$2:$E$200,4,FALSE))</f>
        <v/>
      </c>
      <c r="AA76" s="4" t="e">
        <f t="shared" si="25"/>
        <v>#VALUE!</v>
      </c>
      <c r="AB76">
        <f>'Data input'!N76</f>
        <v>0</v>
      </c>
      <c r="AC76">
        <f t="shared" si="28"/>
        <v>0</v>
      </c>
      <c r="AD76" s="4">
        <f t="shared" si="29"/>
        <v>0</v>
      </c>
      <c r="AE76" s="6">
        <f t="shared" si="30"/>
        <v>0</v>
      </c>
    </row>
    <row r="77" spans="1:31" x14ac:dyDescent="0.35">
      <c r="A77" t="str">
        <f>Lists!A$5</f>
        <v>Tiles_and_ceramics</v>
      </c>
      <c r="B77" t="s">
        <v>396</v>
      </c>
      <c r="C77" s="8" t="s">
        <v>362</v>
      </c>
      <c r="E77" s="136">
        <f>AVERAGE(E78:E82)</f>
        <v>22.708939393939396</v>
      </c>
      <c r="F77" s="14">
        <f>SUMIF('Data input'!D$3:D$202,B77,$Q$3:$Q$202)</f>
        <v>0</v>
      </c>
      <c r="G77" s="4">
        <f t="shared" ref="G77:G118" si="32">E77*F77</f>
        <v>0</v>
      </c>
      <c r="H77" s="136">
        <f>AVERAGE(H78:H82)</f>
        <v>13.49339393939394</v>
      </c>
      <c r="I77" s="136"/>
      <c r="J77" s="6">
        <f t="shared" si="21"/>
        <v>13.49339393939394</v>
      </c>
      <c r="K77" s="6">
        <f t="shared" si="22"/>
        <v>0</v>
      </c>
      <c r="L77" s="4">
        <f>SUMIF('Data input'!$D$3:$D$202,B77,$X$3:$X$202)</f>
        <v>0</v>
      </c>
      <c r="M77" s="4">
        <f>SUMIF('Data input'!$D$3:$D$202,B77,$AC$3:$AC$202)</f>
        <v>0</v>
      </c>
      <c r="N77" s="67">
        <f>SUMIF('Data input'!$D$3:$D$202,B77,$AD$3:$AD$202)</f>
        <v>0</v>
      </c>
      <c r="O77" s="30">
        <f>'Data input'!A77</f>
        <v>75</v>
      </c>
      <c r="P77" s="11">
        <f>'Data input'!G77*('Data input'!H77/1000)</f>
        <v>0</v>
      </c>
      <c r="Q77" s="11">
        <f>'Data input'!G77*('Data input'!H77/1000)*('Data input'!I77/1000)</f>
        <v>0</v>
      </c>
      <c r="R77" s="11">
        <f>'Data input'!G77*('Data input'!H77/1000)*('Data input'!I77/1000)*('Data input'!J77/1000)</f>
        <v>0</v>
      </c>
      <c r="S77" s="11" t="str">
        <f>IF(ISNA(VLOOKUP('Data input'!D77,$B$2:$C$200,2,FALSE)),"",VLOOKUP('Data input'!D77,$B$2:$C$200,2,FALSE))</f>
        <v/>
      </c>
      <c r="T77" s="11" t="str">
        <f>IF(S77="m3",Costs!R77,IF(S77="Each",'Data input'!G77,IF(S77="m",Costs!P77,IF(S77="m2",Costs!Q77,""))))</f>
        <v/>
      </c>
      <c r="U77" s="4" t="str">
        <f>IF(ISNA(VLOOKUP('Data input'!D77,$B$2:$J$200,9,FALSE)),"",VLOOKUP('Data input'!D77,$B$2:$J$200,9,FALSE))</f>
        <v/>
      </c>
      <c r="V77" s="4" t="e">
        <f t="shared" si="26"/>
        <v>#VALUE!</v>
      </c>
      <c r="W77">
        <f>'Data input'!M77</f>
        <v>0</v>
      </c>
      <c r="X77" s="4">
        <f t="shared" si="24"/>
        <v>0</v>
      </c>
      <c r="Y77" s="4" t="e">
        <f t="shared" si="27"/>
        <v>#VALUE!</v>
      </c>
      <c r="Z77" s="4" t="str">
        <f>IF(ISNA(VLOOKUP('Data input'!D77,$B$2:$E$200,4,FALSE)),"",VLOOKUP('Data input'!D77,$B$2:$E$200,4,FALSE))</f>
        <v/>
      </c>
      <c r="AA77" s="4" t="e">
        <f t="shared" si="25"/>
        <v>#VALUE!</v>
      </c>
      <c r="AB77">
        <f>'Data input'!N77</f>
        <v>0</v>
      </c>
      <c r="AC77">
        <f t="shared" si="28"/>
        <v>0</v>
      </c>
      <c r="AD77" s="4">
        <f t="shared" si="29"/>
        <v>0</v>
      </c>
      <c r="AE77" s="6">
        <f t="shared" si="30"/>
        <v>0</v>
      </c>
    </row>
    <row r="78" spans="1:31" x14ac:dyDescent="0.35">
      <c r="A78" t="str">
        <f>Lists!A$5</f>
        <v>Tiles_and_ceramics</v>
      </c>
      <c r="B78" t="s">
        <v>397</v>
      </c>
      <c r="C78" s="8" t="s">
        <v>362</v>
      </c>
      <c r="E78" s="136">
        <v>16.374393939393936</v>
      </c>
      <c r="F78" s="14">
        <f>SUMIF('Data input'!D$3:D$202,B78,$Q$3:$Q$202)</f>
        <v>0</v>
      </c>
      <c r="G78" s="4">
        <f t="shared" si="32"/>
        <v>0</v>
      </c>
      <c r="H78" s="136">
        <v>10.841818181818182</v>
      </c>
      <c r="I78" s="136"/>
      <c r="J78" s="6">
        <f t="shared" si="21"/>
        <v>10.841818181818182</v>
      </c>
      <c r="K78" s="6">
        <f t="shared" si="22"/>
        <v>0</v>
      </c>
      <c r="L78" s="4">
        <f>SUMIF('Data input'!$D$3:$D$202,B78,$X$3:$X$202)</f>
        <v>0</v>
      </c>
      <c r="M78" s="4">
        <f>SUMIF('Data input'!$D$3:$D$202,B78,$AC$3:$AC$202)</f>
        <v>0</v>
      </c>
      <c r="N78" s="67">
        <f>SUMIF('Data input'!$D$3:$D$202,B78,$AD$3:$AD$202)</f>
        <v>0</v>
      </c>
      <c r="O78" s="30">
        <f>'Data input'!A78</f>
        <v>76</v>
      </c>
      <c r="P78" s="11">
        <f>'Data input'!G78*('Data input'!H78/1000)</f>
        <v>0</v>
      </c>
      <c r="Q78" s="11">
        <f>'Data input'!G78*('Data input'!H78/1000)*('Data input'!I78/1000)</f>
        <v>0</v>
      </c>
      <c r="R78" s="11">
        <f>'Data input'!G78*('Data input'!H78/1000)*('Data input'!I78/1000)*('Data input'!J78/1000)</f>
        <v>0</v>
      </c>
      <c r="S78" s="11" t="str">
        <f>IF(ISNA(VLOOKUP('Data input'!D78,$B$2:$C$200,2,FALSE)),"",VLOOKUP('Data input'!D78,$B$2:$C$200,2,FALSE))</f>
        <v/>
      </c>
      <c r="T78" s="11" t="str">
        <f>IF(S78="m3",Costs!R78,IF(S78="Each",'Data input'!G78,IF(S78="m",Costs!P78,IF(S78="m2",Costs!Q78,""))))</f>
        <v/>
      </c>
      <c r="U78" s="4" t="str">
        <f>IF(ISNA(VLOOKUP('Data input'!D78,$B$2:$J$200,9,FALSE)),"",VLOOKUP('Data input'!D78,$B$2:$J$200,9,FALSE))</f>
        <v/>
      </c>
      <c r="V78" s="4" t="e">
        <f t="shared" si="26"/>
        <v>#VALUE!</v>
      </c>
      <c r="W78">
        <f>'Data input'!M78</f>
        <v>0</v>
      </c>
      <c r="X78" s="4">
        <f t="shared" si="24"/>
        <v>0</v>
      </c>
      <c r="Y78" s="4" t="e">
        <f t="shared" si="27"/>
        <v>#VALUE!</v>
      </c>
      <c r="Z78" s="4" t="str">
        <f>IF(ISNA(VLOOKUP('Data input'!D78,$B$2:$E$200,4,FALSE)),"",VLOOKUP('Data input'!D78,$B$2:$E$200,4,FALSE))</f>
        <v/>
      </c>
      <c r="AA78" s="4" t="e">
        <f t="shared" si="25"/>
        <v>#VALUE!</v>
      </c>
      <c r="AB78">
        <f>'Data input'!N78</f>
        <v>0</v>
      </c>
      <c r="AC78">
        <f t="shared" si="28"/>
        <v>0</v>
      </c>
      <c r="AD78" s="4">
        <f t="shared" si="29"/>
        <v>0</v>
      </c>
      <c r="AE78" s="6">
        <f t="shared" si="30"/>
        <v>0</v>
      </c>
    </row>
    <row r="79" spans="1:31" x14ac:dyDescent="0.35">
      <c r="A79" t="str">
        <f>Lists!A$5</f>
        <v>Tiles_and_ceramics</v>
      </c>
      <c r="B79" t="s">
        <v>398</v>
      </c>
      <c r="C79" s="8" t="s">
        <v>362</v>
      </c>
      <c r="E79" s="136">
        <v>33.601515151515152</v>
      </c>
      <c r="F79" s="14">
        <f>SUMIF('Data input'!D$3:D$202,B79,$Q$3:$Q$202)</f>
        <v>0</v>
      </c>
      <c r="G79" s="4">
        <f t="shared" si="32"/>
        <v>0</v>
      </c>
      <c r="H79" s="136">
        <v>5.4310606060606057</v>
      </c>
      <c r="I79" s="136"/>
      <c r="J79" s="6">
        <f t="shared" si="21"/>
        <v>5.4310606060606057</v>
      </c>
      <c r="K79" s="6">
        <f t="shared" si="22"/>
        <v>0</v>
      </c>
      <c r="L79" s="4">
        <f>SUMIF('Data input'!$D$3:$D$202,B79,$X$3:$X$202)</f>
        <v>0</v>
      </c>
      <c r="M79" s="4">
        <f>SUMIF('Data input'!$D$3:$D$202,B79,$AC$3:$AC$202)</f>
        <v>0</v>
      </c>
      <c r="N79" s="67">
        <f>SUMIF('Data input'!$D$3:$D$202,B79,$AD$3:$AD$202)</f>
        <v>0</v>
      </c>
      <c r="O79" s="30">
        <f>'Data input'!A79</f>
        <v>77</v>
      </c>
      <c r="P79" s="11">
        <f>'Data input'!G79*('Data input'!H79/1000)</f>
        <v>0</v>
      </c>
      <c r="Q79" s="11">
        <f>'Data input'!G79*('Data input'!H79/1000)*('Data input'!I79/1000)</f>
        <v>0</v>
      </c>
      <c r="R79" s="11">
        <f>'Data input'!G79*('Data input'!H79/1000)*('Data input'!I79/1000)*('Data input'!J79/1000)</f>
        <v>0</v>
      </c>
      <c r="S79" s="11" t="str">
        <f>IF(ISNA(VLOOKUP('Data input'!D79,$B$2:$C$200,2,FALSE)),"",VLOOKUP('Data input'!D79,$B$2:$C$200,2,FALSE))</f>
        <v/>
      </c>
      <c r="T79" s="11" t="str">
        <f>IF(S79="m3",Costs!R79,IF(S79="Each",'Data input'!G79,IF(S79="m",Costs!P79,IF(S79="m2",Costs!Q79,""))))</f>
        <v/>
      </c>
      <c r="U79" s="4" t="str">
        <f>IF(ISNA(VLOOKUP('Data input'!D79,$B$2:$J$200,9,FALSE)),"",VLOOKUP('Data input'!D79,$B$2:$J$200,9,FALSE))</f>
        <v/>
      </c>
      <c r="V79" s="4" t="e">
        <f t="shared" si="26"/>
        <v>#VALUE!</v>
      </c>
      <c r="W79">
        <f>'Data input'!M79</f>
        <v>0</v>
      </c>
      <c r="X79" s="4">
        <f t="shared" si="24"/>
        <v>0</v>
      </c>
      <c r="Y79" s="4" t="e">
        <f t="shared" si="27"/>
        <v>#VALUE!</v>
      </c>
      <c r="Z79" s="4" t="str">
        <f>IF(ISNA(VLOOKUP('Data input'!D79,$B$2:$E$200,4,FALSE)),"",VLOOKUP('Data input'!D79,$B$2:$E$200,4,FALSE))</f>
        <v/>
      </c>
      <c r="AA79" s="4" t="e">
        <f t="shared" si="25"/>
        <v>#VALUE!</v>
      </c>
      <c r="AB79">
        <f>'Data input'!N79</f>
        <v>0</v>
      </c>
      <c r="AC79">
        <f t="shared" si="28"/>
        <v>0</v>
      </c>
      <c r="AD79" s="4">
        <f t="shared" si="29"/>
        <v>0</v>
      </c>
      <c r="AE79" s="6">
        <f t="shared" si="30"/>
        <v>0</v>
      </c>
    </row>
    <row r="80" spans="1:31" x14ac:dyDescent="0.35">
      <c r="A80" t="str">
        <f>Lists!A$5</f>
        <v>Tiles_and_ceramics</v>
      </c>
      <c r="B80" t="s">
        <v>399</v>
      </c>
      <c r="C80" s="8" t="s">
        <v>362</v>
      </c>
      <c r="E80" s="136">
        <v>13.917727272727273</v>
      </c>
      <c r="F80" s="14">
        <f>SUMIF('Data input'!D$3:D$202,B80,$Q$3:$Q$202)</f>
        <v>0</v>
      </c>
      <c r="G80" s="4">
        <f t="shared" si="32"/>
        <v>0</v>
      </c>
      <c r="H80" s="136">
        <v>9.1059090909090923</v>
      </c>
      <c r="I80" s="136"/>
      <c r="J80" s="6">
        <f t="shared" si="21"/>
        <v>9.1059090909090923</v>
      </c>
      <c r="K80" s="6">
        <f t="shared" si="22"/>
        <v>0</v>
      </c>
      <c r="L80" s="4">
        <f>SUMIF('Data input'!$D$3:$D$202,B80,$X$3:$X$202)</f>
        <v>0</v>
      </c>
      <c r="M80" s="4">
        <f>SUMIF('Data input'!$D$3:$D$202,B80,$AC$3:$AC$202)</f>
        <v>0</v>
      </c>
      <c r="N80" s="67">
        <f>SUMIF('Data input'!$D$3:$D$202,B80,$AD$3:$AD$202)</f>
        <v>0</v>
      </c>
      <c r="O80" s="30">
        <f>'Data input'!A80</f>
        <v>78</v>
      </c>
      <c r="P80" s="11">
        <f>'Data input'!G80*('Data input'!H80/1000)</f>
        <v>0</v>
      </c>
      <c r="Q80" s="11">
        <f>'Data input'!G80*('Data input'!H80/1000)*('Data input'!I80/1000)</f>
        <v>0</v>
      </c>
      <c r="R80" s="11">
        <f>'Data input'!G80*('Data input'!H80/1000)*('Data input'!I80/1000)*('Data input'!J80/1000)</f>
        <v>0</v>
      </c>
      <c r="S80" s="11" t="str">
        <f>IF(ISNA(VLOOKUP('Data input'!D80,$B$2:$C$200,2,FALSE)),"",VLOOKUP('Data input'!D80,$B$2:$C$200,2,FALSE))</f>
        <v/>
      </c>
      <c r="T80" s="11" t="str">
        <f>IF(S80="m3",Costs!R80,IF(S80="Each",'Data input'!G80,IF(S80="m",Costs!P80,IF(S80="m2",Costs!Q80,""))))</f>
        <v/>
      </c>
      <c r="U80" s="4" t="str">
        <f>IF(ISNA(VLOOKUP('Data input'!D80,$B$2:$J$200,9,FALSE)),"",VLOOKUP('Data input'!D80,$B$2:$J$200,9,FALSE))</f>
        <v/>
      </c>
      <c r="V80" s="4" t="e">
        <f t="shared" si="26"/>
        <v>#VALUE!</v>
      </c>
      <c r="W80">
        <f>'Data input'!M80</f>
        <v>0</v>
      </c>
      <c r="X80" s="4">
        <f t="shared" si="24"/>
        <v>0</v>
      </c>
      <c r="Y80" s="4" t="e">
        <f t="shared" si="27"/>
        <v>#VALUE!</v>
      </c>
      <c r="Z80" s="4" t="str">
        <f>IF(ISNA(VLOOKUP('Data input'!D80,$B$2:$E$200,4,FALSE)),"",VLOOKUP('Data input'!D80,$B$2:$E$200,4,FALSE))</f>
        <v/>
      </c>
      <c r="AA80" s="4" t="e">
        <f t="shared" si="25"/>
        <v>#VALUE!</v>
      </c>
      <c r="AB80">
        <f>'Data input'!N80</f>
        <v>0</v>
      </c>
      <c r="AC80">
        <f t="shared" si="28"/>
        <v>0</v>
      </c>
      <c r="AD80" s="4">
        <f t="shared" si="29"/>
        <v>0</v>
      </c>
      <c r="AE80" s="6">
        <f t="shared" si="30"/>
        <v>0</v>
      </c>
    </row>
    <row r="81" spans="1:31" x14ac:dyDescent="0.35">
      <c r="A81" t="str">
        <f>Lists!A$5</f>
        <v>Tiles_and_ceramics</v>
      </c>
      <c r="B81" t="s">
        <v>400</v>
      </c>
      <c r="C81" s="8" t="s">
        <v>362</v>
      </c>
      <c r="E81" s="136">
        <v>20.912121212121214</v>
      </c>
      <c r="F81" s="14">
        <f>SUMIF('Data input'!D$3:D$202,B81,$Q$3:$Q$202)</f>
        <v>0</v>
      </c>
      <c r="G81" s="4">
        <f t="shared" si="32"/>
        <v>0</v>
      </c>
      <c r="H81" s="136">
        <v>16.049545454545456</v>
      </c>
      <c r="I81" s="136"/>
      <c r="J81" s="6">
        <f t="shared" si="21"/>
        <v>16.049545454545456</v>
      </c>
      <c r="K81" s="6">
        <f t="shared" si="22"/>
        <v>0</v>
      </c>
      <c r="L81" s="4">
        <f>SUMIF('Data input'!$D$3:$D$202,B81,$X$3:$X$202)</f>
        <v>0</v>
      </c>
      <c r="M81" s="4">
        <f>SUMIF('Data input'!$D$3:$D$202,B81,$AC$3:$AC$202)</f>
        <v>0</v>
      </c>
      <c r="N81" s="67">
        <f>SUMIF('Data input'!$D$3:$D$202,B81,$AD$3:$AD$202)</f>
        <v>0</v>
      </c>
      <c r="O81" s="30">
        <f>'Data input'!A81</f>
        <v>79</v>
      </c>
      <c r="P81" s="11">
        <f>'Data input'!G81*('Data input'!H81/1000)</f>
        <v>0</v>
      </c>
      <c r="Q81" s="11">
        <f>'Data input'!G81*('Data input'!H81/1000)*('Data input'!I81/1000)</f>
        <v>0</v>
      </c>
      <c r="R81" s="11">
        <f>'Data input'!G81*('Data input'!H81/1000)*('Data input'!I81/1000)*('Data input'!J81/1000)</f>
        <v>0</v>
      </c>
      <c r="S81" s="11" t="str">
        <f>IF(ISNA(VLOOKUP('Data input'!D81,$B$2:$C$200,2,FALSE)),"",VLOOKUP('Data input'!D81,$B$2:$C$200,2,FALSE))</f>
        <v/>
      </c>
      <c r="T81" s="11" t="str">
        <f>IF(S81="m3",Costs!R81,IF(S81="Each",'Data input'!G81,IF(S81="m",Costs!P81,IF(S81="m2",Costs!Q81,""))))</f>
        <v/>
      </c>
      <c r="U81" s="4" t="str">
        <f>IF(ISNA(VLOOKUP('Data input'!D81,$B$2:$J$200,9,FALSE)),"",VLOOKUP('Data input'!D81,$B$2:$J$200,9,FALSE))</f>
        <v/>
      </c>
      <c r="V81" s="4" t="e">
        <f t="shared" si="26"/>
        <v>#VALUE!</v>
      </c>
      <c r="W81">
        <f>'Data input'!M81</f>
        <v>0</v>
      </c>
      <c r="X81" s="4">
        <f t="shared" si="24"/>
        <v>0</v>
      </c>
      <c r="Y81" s="4" t="e">
        <f t="shared" si="27"/>
        <v>#VALUE!</v>
      </c>
      <c r="Z81" s="4" t="str">
        <f>IF(ISNA(VLOOKUP('Data input'!D81,$B$2:$E$200,4,FALSE)),"",VLOOKUP('Data input'!D81,$B$2:$E$200,4,FALSE))</f>
        <v/>
      </c>
      <c r="AA81" s="4" t="e">
        <f t="shared" si="25"/>
        <v>#VALUE!</v>
      </c>
      <c r="AB81">
        <f>'Data input'!N81</f>
        <v>0</v>
      </c>
      <c r="AC81">
        <f t="shared" si="28"/>
        <v>0</v>
      </c>
      <c r="AD81" s="4">
        <f t="shared" si="29"/>
        <v>0</v>
      </c>
      <c r="AE81" s="6">
        <f t="shared" si="30"/>
        <v>0</v>
      </c>
    </row>
    <row r="82" spans="1:31" x14ac:dyDescent="0.35">
      <c r="A82" t="str">
        <f>Lists!A$5</f>
        <v>Tiles_and_ceramics</v>
      </c>
      <c r="B82" t="s">
        <v>401</v>
      </c>
      <c r="C82" s="8" t="s">
        <v>362</v>
      </c>
      <c r="E82" s="136">
        <v>28.738939393939393</v>
      </c>
      <c r="F82" s="14">
        <f>SUMIF('Data input'!D$3:D$202,B82,$Q$3:$Q$202)</f>
        <v>0</v>
      </c>
      <c r="G82" s="4">
        <f t="shared" si="32"/>
        <v>0</v>
      </c>
      <c r="H82" s="136">
        <v>26.03863636363636</v>
      </c>
      <c r="I82" s="136"/>
      <c r="J82" s="6">
        <f t="shared" si="21"/>
        <v>26.03863636363636</v>
      </c>
      <c r="K82" s="6">
        <f t="shared" si="22"/>
        <v>0</v>
      </c>
      <c r="L82" s="4">
        <f>SUMIF('Data input'!$D$3:$D$202,B82,$X$3:$X$202)</f>
        <v>0</v>
      </c>
      <c r="M82" s="4">
        <f>SUMIF('Data input'!$D$3:$D$202,B82,$AC$3:$AC$202)</f>
        <v>0</v>
      </c>
      <c r="N82" s="67">
        <f>SUMIF('Data input'!$D$3:$D$202,B82,$AD$3:$AD$202)</f>
        <v>0</v>
      </c>
      <c r="O82" s="30">
        <f>'Data input'!A82</f>
        <v>80</v>
      </c>
      <c r="P82" s="11">
        <f>'Data input'!G82*('Data input'!H82/1000)</f>
        <v>0</v>
      </c>
      <c r="Q82" s="11">
        <f>'Data input'!G82*('Data input'!H82/1000)*('Data input'!I82/1000)</f>
        <v>0</v>
      </c>
      <c r="R82" s="11">
        <f>'Data input'!G82*('Data input'!H82/1000)*('Data input'!I82/1000)*('Data input'!J82/1000)</f>
        <v>0</v>
      </c>
      <c r="S82" s="11" t="str">
        <f>IF(ISNA(VLOOKUP('Data input'!D82,$B$2:$C$200,2,FALSE)),"",VLOOKUP('Data input'!D82,$B$2:$C$200,2,FALSE))</f>
        <v/>
      </c>
      <c r="T82" s="11" t="str">
        <f>IF(S82="m3",Costs!R82,IF(S82="Each",'Data input'!G82,IF(S82="m",Costs!P82,IF(S82="m2",Costs!Q82,""))))</f>
        <v/>
      </c>
      <c r="U82" s="4" t="str">
        <f>IF(ISNA(VLOOKUP('Data input'!D82,$B$2:$J$200,9,FALSE)),"",VLOOKUP('Data input'!D82,$B$2:$J$200,9,FALSE))</f>
        <v/>
      </c>
      <c r="V82" s="4" t="e">
        <f t="shared" si="26"/>
        <v>#VALUE!</v>
      </c>
      <c r="W82">
        <f>'Data input'!M82</f>
        <v>0</v>
      </c>
      <c r="X82" s="4">
        <f t="shared" si="24"/>
        <v>0</v>
      </c>
      <c r="Y82" s="4" t="e">
        <f t="shared" si="27"/>
        <v>#VALUE!</v>
      </c>
      <c r="Z82" s="4" t="str">
        <f>IF(ISNA(VLOOKUP('Data input'!D82,$B$2:$E$200,4,FALSE)),"",VLOOKUP('Data input'!D82,$B$2:$E$200,4,FALSE))</f>
        <v/>
      </c>
      <c r="AA82" s="4" t="e">
        <f t="shared" si="25"/>
        <v>#VALUE!</v>
      </c>
      <c r="AB82">
        <f>'Data input'!N82</f>
        <v>0</v>
      </c>
      <c r="AC82">
        <f t="shared" si="28"/>
        <v>0</v>
      </c>
      <c r="AD82" s="4">
        <f t="shared" si="29"/>
        <v>0</v>
      </c>
      <c r="AE82" s="6">
        <f t="shared" si="30"/>
        <v>0</v>
      </c>
    </row>
    <row r="83" spans="1:31" x14ac:dyDescent="0.35">
      <c r="A83" t="str">
        <f>Lists!A$6</f>
        <v>Concrete_bricks_tiles_and_ceramics_in_mixtures</v>
      </c>
      <c r="B83" t="s">
        <v>402</v>
      </c>
      <c r="C83" s="8" t="s">
        <v>362</v>
      </c>
      <c r="E83" s="136">
        <f>AVERAGE(E84:E87)</f>
        <v>78.587954545454551</v>
      </c>
      <c r="F83" s="14">
        <f>SUMIF('Data input'!D$3:D$202,B83,$Q$3:$Q$202)</f>
        <v>0</v>
      </c>
      <c r="G83" s="4">
        <f t="shared" si="32"/>
        <v>0</v>
      </c>
      <c r="H83" s="136">
        <f>AVERAGE(H84:H87)</f>
        <v>33.672575757575757</v>
      </c>
      <c r="I83" s="136"/>
      <c r="J83" s="6">
        <f t="shared" si="21"/>
        <v>33.672575757575757</v>
      </c>
      <c r="K83" s="6">
        <f t="shared" si="22"/>
        <v>0</v>
      </c>
      <c r="L83" s="4">
        <f>SUMIF('Data input'!$D$3:$D$202,B83,$X$3:$X$202)</f>
        <v>0</v>
      </c>
      <c r="M83" s="4">
        <f>SUMIF('Data input'!$D$3:$D$202,B83,$AC$3:$AC$202)</f>
        <v>0</v>
      </c>
      <c r="N83" s="67">
        <f>SUMIF('Data input'!$D$3:$D$202,B83,$AD$3:$AD$202)</f>
        <v>0</v>
      </c>
      <c r="O83" s="30">
        <f>'Data input'!A83</f>
        <v>81</v>
      </c>
      <c r="P83" s="11">
        <f>'Data input'!G83*('Data input'!H83/1000)</f>
        <v>0</v>
      </c>
      <c r="Q83" s="11">
        <f>'Data input'!G83*('Data input'!H83/1000)*('Data input'!I83/1000)</f>
        <v>0</v>
      </c>
      <c r="R83" s="11">
        <f>'Data input'!G83*('Data input'!H83/1000)*('Data input'!I83/1000)*('Data input'!J83/1000)</f>
        <v>0</v>
      </c>
      <c r="S83" s="11" t="str">
        <f>IF(ISNA(VLOOKUP('Data input'!D83,$B$2:$C$200,2,FALSE)),"",VLOOKUP('Data input'!D83,$B$2:$C$200,2,FALSE))</f>
        <v/>
      </c>
      <c r="T83" s="11" t="str">
        <f>IF(S83="m3",Costs!R83,IF(S83="Each",'Data input'!G83,IF(S83="m",Costs!P83,IF(S83="m2",Costs!Q83,""))))</f>
        <v/>
      </c>
      <c r="U83" s="4" t="str">
        <f>IF(ISNA(VLOOKUP('Data input'!D83,$B$2:$J$200,9,FALSE)),"",VLOOKUP('Data input'!D83,$B$2:$J$200,9,FALSE))</f>
        <v/>
      </c>
      <c r="V83" s="4" t="e">
        <f t="shared" si="26"/>
        <v>#VALUE!</v>
      </c>
      <c r="W83">
        <f>'Data input'!M83</f>
        <v>0</v>
      </c>
      <c r="X83" s="4">
        <f t="shared" si="24"/>
        <v>0</v>
      </c>
      <c r="Y83" s="4" t="e">
        <f t="shared" si="27"/>
        <v>#VALUE!</v>
      </c>
      <c r="Z83" s="4" t="str">
        <f>IF(ISNA(VLOOKUP('Data input'!D83,$B$2:$E$200,4,FALSE)),"",VLOOKUP('Data input'!D83,$B$2:$E$200,4,FALSE))</f>
        <v/>
      </c>
      <c r="AA83" s="4" t="e">
        <f t="shared" si="25"/>
        <v>#VALUE!</v>
      </c>
      <c r="AB83">
        <f>'Data input'!N83</f>
        <v>0</v>
      </c>
      <c r="AC83">
        <f t="shared" si="28"/>
        <v>0</v>
      </c>
      <c r="AD83" s="4">
        <f t="shared" si="29"/>
        <v>0</v>
      </c>
      <c r="AE83" s="6">
        <f t="shared" si="30"/>
        <v>0</v>
      </c>
    </row>
    <row r="84" spans="1:31" x14ac:dyDescent="0.35">
      <c r="A84" t="str">
        <f>Lists!A$6</f>
        <v>Concrete_bricks_tiles_and_ceramics_in_mixtures</v>
      </c>
      <c r="B84" t="s">
        <v>403</v>
      </c>
      <c r="C84" s="8" t="s">
        <v>362</v>
      </c>
      <c r="E84" s="136">
        <v>108.54</v>
      </c>
      <c r="F84" s="14">
        <f>SUMIF('Data input'!D$3:D$202,B84,$Q$3:$Q$202)</f>
        <v>0</v>
      </c>
      <c r="G84" s="4">
        <f t="shared" si="32"/>
        <v>0</v>
      </c>
      <c r="H84" s="136">
        <v>49.996212121212118</v>
      </c>
      <c r="I84" s="136"/>
      <c r="J84" s="6">
        <f t="shared" si="21"/>
        <v>49.996212121212118</v>
      </c>
      <c r="K84" s="6">
        <f t="shared" si="22"/>
        <v>0</v>
      </c>
      <c r="L84" s="4">
        <f>SUMIF('Data input'!$D$3:$D$202,B84,$X$3:$X$202)</f>
        <v>0</v>
      </c>
      <c r="M84" s="4">
        <f>SUMIF('Data input'!$D$3:$D$202,B84,$AC$3:$AC$202)</f>
        <v>0</v>
      </c>
      <c r="N84" s="67">
        <f>SUMIF('Data input'!$D$3:$D$202,B84,$AD$3:$AD$202)</f>
        <v>0</v>
      </c>
      <c r="O84" s="30">
        <f>'Data input'!A84</f>
        <v>82</v>
      </c>
      <c r="P84" s="11">
        <f>'Data input'!G84*('Data input'!H84/1000)</f>
        <v>0</v>
      </c>
      <c r="Q84" s="11">
        <f>'Data input'!G84*('Data input'!H84/1000)*('Data input'!I84/1000)</f>
        <v>0</v>
      </c>
      <c r="R84" s="11">
        <f>'Data input'!G84*('Data input'!H84/1000)*('Data input'!I84/1000)*('Data input'!J84/1000)</f>
        <v>0</v>
      </c>
      <c r="S84" s="11" t="str">
        <f>IF(ISNA(VLOOKUP('Data input'!D84,$B$2:$C$200,2,FALSE)),"",VLOOKUP('Data input'!D84,$B$2:$C$200,2,FALSE))</f>
        <v/>
      </c>
      <c r="T84" s="11" t="str">
        <f>IF(S84="m3",Costs!R84,IF(S84="Each",'Data input'!G84,IF(S84="m",Costs!P84,IF(S84="m2",Costs!Q84,""))))</f>
        <v/>
      </c>
      <c r="U84" s="4" t="str">
        <f>IF(ISNA(VLOOKUP('Data input'!D84,$B$2:$J$200,9,FALSE)),"",VLOOKUP('Data input'!D84,$B$2:$J$200,9,FALSE))</f>
        <v/>
      </c>
      <c r="V84" s="4" t="e">
        <f t="shared" si="26"/>
        <v>#VALUE!</v>
      </c>
      <c r="W84">
        <f>'Data input'!M84</f>
        <v>0</v>
      </c>
      <c r="X84" s="4">
        <f t="shared" si="24"/>
        <v>0</v>
      </c>
      <c r="Y84" s="4" t="e">
        <f t="shared" si="27"/>
        <v>#VALUE!</v>
      </c>
      <c r="Z84" s="4" t="str">
        <f>IF(ISNA(VLOOKUP('Data input'!D84,$B$2:$E$200,4,FALSE)),"",VLOOKUP('Data input'!D84,$B$2:$E$200,4,FALSE))</f>
        <v/>
      </c>
      <c r="AA84" s="4" t="e">
        <f t="shared" si="25"/>
        <v>#VALUE!</v>
      </c>
      <c r="AB84">
        <f>'Data input'!N84</f>
        <v>0</v>
      </c>
      <c r="AC84">
        <f t="shared" si="28"/>
        <v>0</v>
      </c>
      <c r="AD84" s="4">
        <f t="shared" si="29"/>
        <v>0</v>
      </c>
      <c r="AE84" s="6">
        <f t="shared" si="30"/>
        <v>0</v>
      </c>
    </row>
    <row r="85" spans="1:31" x14ac:dyDescent="0.35">
      <c r="A85" t="str">
        <f>Lists!A$6</f>
        <v>Concrete_bricks_tiles_and_ceramics_in_mixtures</v>
      </c>
      <c r="B85" t="s">
        <v>404</v>
      </c>
      <c r="C85" s="8" t="s">
        <v>362</v>
      </c>
      <c r="E85" s="136">
        <v>140.82181818181817</v>
      </c>
      <c r="F85" s="14">
        <f>SUMIF('Data input'!D$3:D$202,B85,$Q$3:$Q$202)</f>
        <v>0</v>
      </c>
      <c r="G85" s="4">
        <f t="shared" si="32"/>
        <v>0</v>
      </c>
      <c r="H85" s="136">
        <v>53.6710606060606</v>
      </c>
      <c r="I85" s="136"/>
      <c r="J85" s="6">
        <f t="shared" si="21"/>
        <v>53.6710606060606</v>
      </c>
      <c r="K85" s="6">
        <f t="shared" si="22"/>
        <v>0</v>
      </c>
      <c r="L85" s="4">
        <f>SUMIF('Data input'!$D$3:$D$202,B85,$X$3:$X$202)</f>
        <v>0</v>
      </c>
      <c r="M85" s="4">
        <f>SUMIF('Data input'!$D$3:$D$202,B85,$AC$3:$AC$202)</f>
        <v>0</v>
      </c>
      <c r="N85" s="67">
        <f>SUMIF('Data input'!$D$3:$D$202,B85,$AD$3:$AD$202)</f>
        <v>0</v>
      </c>
      <c r="O85" s="30">
        <f>'Data input'!A85</f>
        <v>83</v>
      </c>
      <c r="P85" s="11">
        <f>'Data input'!G85*('Data input'!H85/1000)</f>
        <v>0</v>
      </c>
      <c r="Q85" s="11">
        <f>'Data input'!G85*('Data input'!H85/1000)*('Data input'!I85/1000)</f>
        <v>0</v>
      </c>
      <c r="R85" s="11">
        <f>'Data input'!G85*('Data input'!H85/1000)*('Data input'!I85/1000)*('Data input'!J85/1000)</f>
        <v>0</v>
      </c>
      <c r="S85" s="11" t="str">
        <f>IF(ISNA(VLOOKUP('Data input'!D85,$B$2:$C$200,2,FALSE)),"",VLOOKUP('Data input'!D85,$B$2:$C$200,2,FALSE))</f>
        <v/>
      </c>
      <c r="T85" s="11" t="str">
        <f>IF(S85="m3",Costs!R85,IF(S85="Each",'Data input'!G85,IF(S85="m",Costs!P85,IF(S85="m2",Costs!Q85,""))))</f>
        <v/>
      </c>
      <c r="U85" s="4" t="str">
        <f>IF(ISNA(VLOOKUP('Data input'!D85,$B$2:$J$200,9,FALSE)),"",VLOOKUP('Data input'!D85,$B$2:$J$200,9,FALSE))</f>
        <v/>
      </c>
      <c r="V85" s="4" t="e">
        <f t="shared" si="26"/>
        <v>#VALUE!</v>
      </c>
      <c r="W85">
        <f>'Data input'!M85</f>
        <v>0</v>
      </c>
      <c r="X85" s="4">
        <f t="shared" si="24"/>
        <v>0</v>
      </c>
      <c r="Y85" s="4" t="e">
        <f t="shared" si="27"/>
        <v>#VALUE!</v>
      </c>
      <c r="Z85" s="4" t="str">
        <f>IF(ISNA(VLOOKUP('Data input'!D85,$B$2:$E$200,4,FALSE)),"",VLOOKUP('Data input'!D85,$B$2:$E$200,4,FALSE))</f>
        <v/>
      </c>
      <c r="AA85" s="4" t="e">
        <f t="shared" si="25"/>
        <v>#VALUE!</v>
      </c>
      <c r="AB85">
        <f>'Data input'!N85</f>
        <v>0</v>
      </c>
      <c r="AC85">
        <f t="shared" si="28"/>
        <v>0</v>
      </c>
      <c r="AD85" s="4">
        <f t="shared" si="29"/>
        <v>0</v>
      </c>
      <c r="AE85" s="6">
        <f t="shared" si="30"/>
        <v>0</v>
      </c>
    </row>
    <row r="86" spans="1:31" x14ac:dyDescent="0.35">
      <c r="A86" t="str">
        <f>Lists!A$6</f>
        <v>Concrete_bricks_tiles_and_ceramics_in_mixtures</v>
      </c>
      <c r="B86" t="s">
        <v>405</v>
      </c>
      <c r="C86" s="8" t="s">
        <v>362</v>
      </c>
      <c r="E86" s="136">
        <v>38.443787878787873</v>
      </c>
      <c r="F86" s="14">
        <f>SUMIF('Data input'!D$3:D$202,B86,$Q$3:$Q$202)</f>
        <v>0</v>
      </c>
      <c r="G86" s="4">
        <f t="shared" si="32"/>
        <v>0</v>
      </c>
      <c r="H86" s="136">
        <v>17.66363636363636</v>
      </c>
      <c r="I86" s="136"/>
      <c r="J86" s="6">
        <f t="shared" si="21"/>
        <v>17.66363636363636</v>
      </c>
      <c r="K86" s="6">
        <f t="shared" si="22"/>
        <v>0</v>
      </c>
      <c r="L86" s="4">
        <f>SUMIF('Data input'!$D$3:$D$202,B86,$X$3:$X$202)</f>
        <v>0</v>
      </c>
      <c r="M86" s="4">
        <f>SUMIF('Data input'!$D$3:$D$202,B86,$AC$3:$AC$202)</f>
        <v>0</v>
      </c>
      <c r="N86" s="67">
        <f>SUMIF('Data input'!$D$3:$D$202,B86,$AD$3:$AD$202)</f>
        <v>0</v>
      </c>
      <c r="O86" s="30">
        <f>'Data input'!A86</f>
        <v>84</v>
      </c>
      <c r="P86" s="11">
        <f>'Data input'!G86*('Data input'!H86/1000)</f>
        <v>0</v>
      </c>
      <c r="Q86" s="11">
        <f>'Data input'!G86*('Data input'!H86/1000)*('Data input'!I86/1000)</f>
        <v>0</v>
      </c>
      <c r="R86" s="11">
        <f>'Data input'!G86*('Data input'!H86/1000)*('Data input'!I86/1000)*('Data input'!J86/1000)</f>
        <v>0</v>
      </c>
      <c r="S86" s="11" t="str">
        <f>IF(ISNA(VLOOKUP('Data input'!D86,$B$2:$C$200,2,FALSE)),"",VLOOKUP('Data input'!D86,$B$2:$C$200,2,FALSE))</f>
        <v/>
      </c>
      <c r="T86" s="11" t="str">
        <f>IF(S86="m3",Costs!R86,IF(S86="Each",'Data input'!G86,IF(S86="m",Costs!P86,IF(S86="m2",Costs!Q86,""))))</f>
        <v/>
      </c>
      <c r="U86" s="4" t="str">
        <f>IF(ISNA(VLOOKUP('Data input'!D86,$B$2:$J$200,9,FALSE)),"",VLOOKUP('Data input'!D86,$B$2:$J$200,9,FALSE))</f>
        <v/>
      </c>
      <c r="V86" s="4" t="e">
        <f t="shared" si="26"/>
        <v>#VALUE!</v>
      </c>
      <c r="W86">
        <f>'Data input'!M86</f>
        <v>0</v>
      </c>
      <c r="X86" s="4">
        <f t="shared" si="24"/>
        <v>0</v>
      </c>
      <c r="Y86" s="4" t="e">
        <f t="shared" si="27"/>
        <v>#VALUE!</v>
      </c>
      <c r="Z86" s="4" t="str">
        <f>IF(ISNA(VLOOKUP('Data input'!D86,$B$2:$E$200,4,FALSE)),"",VLOOKUP('Data input'!D86,$B$2:$E$200,4,FALSE))</f>
        <v/>
      </c>
      <c r="AA86" s="4" t="e">
        <f t="shared" si="25"/>
        <v>#VALUE!</v>
      </c>
      <c r="AB86">
        <f>'Data input'!N86</f>
        <v>0</v>
      </c>
      <c r="AC86">
        <f t="shared" si="28"/>
        <v>0</v>
      </c>
      <c r="AD86" s="4">
        <f t="shared" si="29"/>
        <v>0</v>
      </c>
      <c r="AE86" s="6">
        <f t="shared" si="30"/>
        <v>0</v>
      </c>
    </row>
    <row r="87" spans="1:31" x14ac:dyDescent="0.35">
      <c r="A87" t="str">
        <f>Lists!A$6</f>
        <v>Concrete_bricks_tiles_and_ceramics_in_mixtures</v>
      </c>
      <c r="B87" t="s">
        <v>406</v>
      </c>
      <c r="C87" s="8" t="s">
        <v>362</v>
      </c>
      <c r="E87" s="136">
        <v>26.546212121212118</v>
      </c>
      <c r="F87" s="14">
        <f>SUMIF('Data input'!D$3:D$202,B87,$Q$3:$Q$202)</f>
        <v>0</v>
      </c>
      <c r="G87" s="4">
        <f t="shared" si="32"/>
        <v>0</v>
      </c>
      <c r="H87" s="136">
        <v>13.359393939393939</v>
      </c>
      <c r="I87" s="136"/>
      <c r="J87" s="6">
        <f t="shared" si="21"/>
        <v>13.359393939393939</v>
      </c>
      <c r="K87" s="6">
        <f t="shared" si="22"/>
        <v>0</v>
      </c>
      <c r="L87" s="4">
        <f>SUMIF('Data input'!$D$3:$D$202,B87,$X$3:$X$202)</f>
        <v>0</v>
      </c>
      <c r="M87" s="4">
        <f>SUMIF('Data input'!$D$3:$D$202,B87,$AC$3:$AC$202)</f>
        <v>0</v>
      </c>
      <c r="N87" s="67">
        <f>SUMIF('Data input'!$D$3:$D$202,B87,$AD$3:$AD$202)</f>
        <v>0</v>
      </c>
      <c r="O87" s="30">
        <f>'Data input'!A87</f>
        <v>85</v>
      </c>
      <c r="P87" s="11">
        <f>'Data input'!G87*('Data input'!H87/1000)</f>
        <v>0</v>
      </c>
      <c r="Q87" s="11">
        <f>'Data input'!G87*('Data input'!H87/1000)*('Data input'!I87/1000)</f>
        <v>0</v>
      </c>
      <c r="R87" s="11">
        <f>'Data input'!G87*('Data input'!H87/1000)*('Data input'!I87/1000)*('Data input'!J87/1000)</f>
        <v>0</v>
      </c>
      <c r="S87" s="11" t="str">
        <f>IF(ISNA(VLOOKUP('Data input'!D87,$B$2:$C$200,2,FALSE)),"",VLOOKUP('Data input'!D87,$B$2:$C$200,2,FALSE))</f>
        <v/>
      </c>
      <c r="T87" s="11" t="str">
        <f>IF(S87="m3",Costs!R87,IF(S87="Each",'Data input'!G87,IF(S87="m",Costs!P87,IF(S87="m2",Costs!Q87,""))))</f>
        <v/>
      </c>
      <c r="U87" s="4" t="str">
        <f>IF(ISNA(VLOOKUP('Data input'!D87,$B$2:$J$200,9,FALSE)),"",VLOOKUP('Data input'!D87,$B$2:$J$200,9,FALSE))</f>
        <v/>
      </c>
      <c r="V87" s="4" t="e">
        <f t="shared" si="26"/>
        <v>#VALUE!</v>
      </c>
      <c r="W87">
        <f>'Data input'!M87</f>
        <v>0</v>
      </c>
      <c r="X87" s="4">
        <f t="shared" si="24"/>
        <v>0</v>
      </c>
      <c r="Y87" s="4" t="e">
        <f t="shared" si="27"/>
        <v>#VALUE!</v>
      </c>
      <c r="Z87" s="4" t="str">
        <f>IF(ISNA(VLOOKUP('Data input'!D87,$B$2:$E$200,4,FALSE)),"",VLOOKUP('Data input'!D87,$B$2:$E$200,4,FALSE))</f>
        <v/>
      </c>
      <c r="AA87" s="4" t="e">
        <f t="shared" si="25"/>
        <v>#VALUE!</v>
      </c>
      <c r="AB87">
        <f>'Data input'!N87</f>
        <v>0</v>
      </c>
      <c r="AC87">
        <f t="shared" si="28"/>
        <v>0</v>
      </c>
      <c r="AD87" s="4">
        <f t="shared" si="29"/>
        <v>0</v>
      </c>
      <c r="AE87" s="6">
        <f t="shared" si="30"/>
        <v>0</v>
      </c>
    </row>
    <row r="88" spans="1:31" x14ac:dyDescent="0.35">
      <c r="A88" t="str">
        <f>Lists!A$7</f>
        <v>Wood_untreated</v>
      </c>
      <c r="B88" t="s">
        <v>407</v>
      </c>
      <c r="C88" s="8" t="s">
        <v>352</v>
      </c>
      <c r="E88" s="136">
        <v>0.91363636363636369</v>
      </c>
      <c r="F88" s="14">
        <f>SUMIF('Data input'!D$3:D$202,B88,$P$3:$P$202)</f>
        <v>0</v>
      </c>
      <c r="G88" s="4">
        <f t="shared" si="32"/>
        <v>0</v>
      </c>
      <c r="H88" s="136">
        <v>1.3501515151515151</v>
      </c>
      <c r="I88" s="136"/>
      <c r="J88" s="6">
        <f t="shared" si="21"/>
        <v>1.3501515151515151</v>
      </c>
      <c r="K88" s="6">
        <f t="shared" si="22"/>
        <v>0</v>
      </c>
      <c r="L88" s="4">
        <f>SUMIF('Data input'!$D$3:$D$202,B88,$X$3:$X$202)</f>
        <v>0</v>
      </c>
      <c r="M88" s="4">
        <f>SUMIF('Data input'!$D$3:$D$202,B88,$AC$3:$AC$202)</f>
        <v>0</v>
      </c>
      <c r="N88" s="67">
        <f>SUMIF('Data input'!$D$3:$D$202,B88,$AD$3:$AD$202)</f>
        <v>0</v>
      </c>
      <c r="O88" s="30">
        <f>'Data input'!A88</f>
        <v>86</v>
      </c>
      <c r="P88" s="11">
        <f>'Data input'!G88*('Data input'!H88/1000)</f>
        <v>0</v>
      </c>
      <c r="Q88" s="11">
        <f>'Data input'!G88*('Data input'!H88/1000)*('Data input'!I88/1000)</f>
        <v>0</v>
      </c>
      <c r="R88" s="11">
        <f>'Data input'!G88*('Data input'!H88/1000)*('Data input'!I88/1000)*('Data input'!J88/1000)</f>
        <v>0</v>
      </c>
      <c r="S88" s="11" t="str">
        <f>IF(ISNA(VLOOKUP('Data input'!D88,$B$2:$C$200,2,FALSE)),"",VLOOKUP('Data input'!D88,$B$2:$C$200,2,FALSE))</f>
        <v/>
      </c>
      <c r="T88" s="11" t="str">
        <f>IF(S88="m3",Costs!R88,IF(S88="Each",'Data input'!G88,IF(S88="m",Costs!P88,IF(S88="m2",Costs!Q88,""))))</f>
        <v/>
      </c>
      <c r="U88" s="4" t="str">
        <f>IF(ISNA(VLOOKUP('Data input'!D88,$B$2:$J$200,9,FALSE)),"",VLOOKUP('Data input'!D88,$B$2:$J$200,9,FALSE))</f>
        <v/>
      </c>
      <c r="V88" s="4" t="e">
        <f t="shared" si="26"/>
        <v>#VALUE!</v>
      </c>
      <c r="W88">
        <f>'Data input'!M88</f>
        <v>0</v>
      </c>
      <c r="X88" s="4">
        <f t="shared" si="24"/>
        <v>0</v>
      </c>
      <c r="Y88" s="4" t="e">
        <f t="shared" si="27"/>
        <v>#VALUE!</v>
      </c>
      <c r="Z88" s="4" t="str">
        <f>IF(ISNA(VLOOKUP('Data input'!D88,$B$2:$E$200,4,FALSE)),"",VLOOKUP('Data input'!D88,$B$2:$E$200,4,FALSE))</f>
        <v/>
      </c>
      <c r="AA88" s="4" t="e">
        <f t="shared" si="25"/>
        <v>#VALUE!</v>
      </c>
      <c r="AB88">
        <f>'Data input'!N88</f>
        <v>0</v>
      </c>
      <c r="AC88">
        <f t="shared" si="28"/>
        <v>0</v>
      </c>
      <c r="AD88" s="4">
        <f t="shared" si="29"/>
        <v>0</v>
      </c>
      <c r="AE88" s="6">
        <f t="shared" si="30"/>
        <v>0</v>
      </c>
    </row>
    <row r="89" spans="1:31" x14ac:dyDescent="0.35">
      <c r="A89" t="str">
        <f>Lists!A$7</f>
        <v>Wood_untreated</v>
      </c>
      <c r="B89" t="s">
        <v>408</v>
      </c>
      <c r="C89" s="8" t="s">
        <v>362</v>
      </c>
      <c r="E89" s="136">
        <v>1.5125757575757575</v>
      </c>
      <c r="F89" s="14">
        <f>SUMIF('Data input'!D$3:D$202,B89,$Q$3:$Q$202)</f>
        <v>0</v>
      </c>
      <c r="G89" s="4">
        <f t="shared" si="32"/>
        <v>0</v>
      </c>
      <c r="H89" s="136">
        <v>6.0706060606060612</v>
      </c>
      <c r="I89" s="136"/>
      <c r="J89" s="6">
        <f t="shared" si="21"/>
        <v>6.0706060606060612</v>
      </c>
      <c r="K89" s="6">
        <f t="shared" si="22"/>
        <v>0</v>
      </c>
      <c r="L89" s="4">
        <f>SUMIF('Data input'!$D$3:$D$202,B89,$X$3:$X$202)</f>
        <v>0</v>
      </c>
      <c r="M89" s="4">
        <f>SUMIF('Data input'!$D$3:$D$202,B89,$AC$3:$AC$202)</f>
        <v>0</v>
      </c>
      <c r="N89" s="67">
        <f>SUMIF('Data input'!$D$3:$D$202,B89,$AD$3:$AD$202)</f>
        <v>0</v>
      </c>
      <c r="O89" s="30">
        <f>'Data input'!A89</f>
        <v>87</v>
      </c>
      <c r="P89" s="11">
        <f>'Data input'!G89*('Data input'!H89/1000)</f>
        <v>0</v>
      </c>
      <c r="Q89" s="11">
        <f>'Data input'!G89*('Data input'!H89/1000)*('Data input'!I89/1000)</f>
        <v>0</v>
      </c>
      <c r="R89" s="11">
        <f>'Data input'!G89*('Data input'!H89/1000)*('Data input'!I89/1000)*('Data input'!J89/1000)</f>
        <v>0</v>
      </c>
      <c r="S89" s="11" t="str">
        <f>IF(ISNA(VLOOKUP('Data input'!D89,$B$2:$C$200,2,FALSE)),"",VLOOKUP('Data input'!D89,$B$2:$C$200,2,FALSE))</f>
        <v/>
      </c>
      <c r="T89" s="11" t="str">
        <f>IF(S89="m3",Costs!R89,IF(S89="Each",'Data input'!G89,IF(S89="m",Costs!P89,IF(S89="m2",Costs!Q89,""))))</f>
        <v/>
      </c>
      <c r="U89" s="4" t="str">
        <f>IF(ISNA(VLOOKUP('Data input'!D89,$B$2:$J$200,9,FALSE)),"",VLOOKUP('Data input'!D89,$B$2:$J$200,9,FALSE))</f>
        <v/>
      </c>
      <c r="V89" s="4" t="e">
        <f t="shared" si="26"/>
        <v>#VALUE!</v>
      </c>
      <c r="W89">
        <f>'Data input'!M89</f>
        <v>0</v>
      </c>
      <c r="X89" s="4">
        <f t="shared" si="24"/>
        <v>0</v>
      </c>
      <c r="Y89" s="4" t="e">
        <f t="shared" si="27"/>
        <v>#VALUE!</v>
      </c>
      <c r="Z89" s="4" t="str">
        <f>IF(ISNA(VLOOKUP('Data input'!D89,$B$2:$E$200,4,FALSE)),"",VLOOKUP('Data input'!D89,$B$2:$E$200,4,FALSE))</f>
        <v/>
      </c>
      <c r="AA89" s="4" t="e">
        <f t="shared" si="25"/>
        <v>#VALUE!</v>
      </c>
      <c r="AB89">
        <f>'Data input'!N89</f>
        <v>0</v>
      </c>
      <c r="AC89">
        <f t="shared" si="28"/>
        <v>0</v>
      </c>
      <c r="AD89" s="4">
        <f t="shared" si="29"/>
        <v>0</v>
      </c>
      <c r="AE89" s="6">
        <f t="shared" si="30"/>
        <v>0</v>
      </c>
    </row>
    <row r="90" spans="1:31" x14ac:dyDescent="0.35">
      <c r="A90" t="str">
        <f>Lists!A$7</f>
        <v>Wood_untreated</v>
      </c>
      <c r="B90" t="s">
        <v>409</v>
      </c>
      <c r="C90" s="8" t="s">
        <v>372</v>
      </c>
      <c r="E90" s="136">
        <v>1743.5497979797981</v>
      </c>
      <c r="F90" s="14">
        <f>SUMIF('Data input'!D$3:D$202,B90,$R$3:$R$202)</f>
        <v>0</v>
      </c>
      <c r="G90" s="4">
        <f t="shared" si="32"/>
        <v>0</v>
      </c>
      <c r="H90" s="136">
        <f>H89</f>
        <v>6.0706060606060612</v>
      </c>
      <c r="I90" s="136"/>
      <c r="J90" s="6">
        <f t="shared" si="21"/>
        <v>6.0706060606060612</v>
      </c>
      <c r="K90" s="6">
        <f t="shared" si="22"/>
        <v>0</v>
      </c>
      <c r="L90" s="4">
        <f>SUMIF('Data input'!$D$3:$D$202,B90,$X$3:$X$202)</f>
        <v>0</v>
      </c>
      <c r="M90" s="4">
        <f>SUMIF('Data input'!$D$3:$D$202,B90,$AC$3:$AC$202)</f>
        <v>0</v>
      </c>
      <c r="N90" s="67">
        <f>SUMIF('Data input'!$D$3:$D$202,B90,$AD$3:$AD$202)</f>
        <v>0</v>
      </c>
      <c r="O90" s="30">
        <f>'Data input'!A90</f>
        <v>88</v>
      </c>
      <c r="P90" s="11">
        <f>'Data input'!G90*('Data input'!H90/1000)</f>
        <v>0</v>
      </c>
      <c r="Q90" s="11">
        <f>'Data input'!G90*('Data input'!H90/1000)*('Data input'!I90/1000)</f>
        <v>0</v>
      </c>
      <c r="R90" s="11">
        <f>'Data input'!G90*('Data input'!H90/1000)*('Data input'!I90/1000)*('Data input'!J90/1000)</f>
        <v>0</v>
      </c>
      <c r="S90" s="11" t="str">
        <f>IF(ISNA(VLOOKUP('Data input'!D90,$B$2:$C$200,2,FALSE)),"",VLOOKUP('Data input'!D90,$B$2:$C$200,2,FALSE))</f>
        <v/>
      </c>
      <c r="T90" s="11" t="str">
        <f>IF(S90="m3",Costs!R90,IF(S90="Each",'Data input'!G90,IF(S90="m",Costs!P90,IF(S90="m2",Costs!Q90,""))))</f>
        <v/>
      </c>
      <c r="U90" s="4" t="str">
        <f>IF(ISNA(VLOOKUP('Data input'!D90,$B$2:$J$200,9,FALSE)),"",VLOOKUP('Data input'!D90,$B$2:$J$200,9,FALSE))</f>
        <v/>
      </c>
      <c r="V90" s="4" t="e">
        <f t="shared" si="26"/>
        <v>#VALUE!</v>
      </c>
      <c r="W90">
        <f>'Data input'!M90</f>
        <v>0</v>
      </c>
      <c r="X90" s="4">
        <f t="shared" si="24"/>
        <v>0</v>
      </c>
      <c r="Y90" s="4" t="e">
        <f t="shared" si="27"/>
        <v>#VALUE!</v>
      </c>
      <c r="Z90" s="4" t="str">
        <f>IF(ISNA(VLOOKUP('Data input'!D90,$B$2:$E$200,4,FALSE)),"",VLOOKUP('Data input'!D90,$B$2:$E$200,4,FALSE))</f>
        <v/>
      </c>
      <c r="AA90" s="4" t="e">
        <f t="shared" si="25"/>
        <v>#VALUE!</v>
      </c>
      <c r="AB90">
        <f>'Data input'!N90</f>
        <v>0</v>
      </c>
      <c r="AC90">
        <f t="shared" si="28"/>
        <v>0</v>
      </c>
      <c r="AD90" s="4">
        <f t="shared" si="29"/>
        <v>0</v>
      </c>
      <c r="AE90" s="6">
        <f t="shared" si="30"/>
        <v>0</v>
      </c>
    </row>
    <row r="91" spans="1:31" x14ac:dyDescent="0.35">
      <c r="A91" t="str">
        <f>Lists!A$8</f>
        <v>Treated_wood_glass_plastic_including_wood_plastic_window_frames</v>
      </c>
      <c r="B91" t="s">
        <v>410</v>
      </c>
      <c r="C91" s="8" t="s">
        <v>372</v>
      </c>
      <c r="E91" s="136">
        <f>AVERAGE(E94:E96)</f>
        <v>2072.795580808081</v>
      </c>
      <c r="F91" s="14">
        <f>SUMIF('Data input'!D$3:D$202,B91,$R$3:$R$202)</f>
        <v>0</v>
      </c>
      <c r="G91" s="4">
        <f t="shared" si="32"/>
        <v>0</v>
      </c>
      <c r="H91" s="136">
        <f>AVERAGE(H92:H97)</f>
        <v>36.989545454545457</v>
      </c>
      <c r="I91" s="136"/>
      <c r="J91" s="6">
        <f t="shared" si="21"/>
        <v>36.989545454545457</v>
      </c>
      <c r="K91" s="6">
        <f t="shared" si="22"/>
        <v>0</v>
      </c>
      <c r="L91" s="4">
        <f>SUMIF('Data input'!$D$3:$D$202,B91,$X$3:$X$202)</f>
        <v>0</v>
      </c>
      <c r="M91" s="4">
        <f>SUMIF('Data input'!$D$3:$D$202,B91,$AC$3:$AC$202)</f>
        <v>0</v>
      </c>
      <c r="N91" s="67">
        <f>SUMIF('Data input'!$D$3:$D$202,B91,$AD$3:$AD$202)</f>
        <v>0</v>
      </c>
      <c r="O91" s="30">
        <f>'Data input'!A91</f>
        <v>89</v>
      </c>
      <c r="P91" s="11">
        <f>'Data input'!G91*('Data input'!H91/1000)</f>
        <v>0</v>
      </c>
      <c r="Q91" s="11">
        <f>'Data input'!G91*('Data input'!H91/1000)*('Data input'!I91/1000)</f>
        <v>0</v>
      </c>
      <c r="R91" s="11">
        <f>'Data input'!G91*('Data input'!H91/1000)*('Data input'!I91/1000)*('Data input'!J91/1000)</f>
        <v>0</v>
      </c>
      <c r="S91" s="11" t="str">
        <f>IF(ISNA(VLOOKUP('Data input'!D91,$B$2:$C$200,2,FALSE)),"",VLOOKUP('Data input'!D91,$B$2:$C$200,2,FALSE))</f>
        <v/>
      </c>
      <c r="T91" s="11" t="str">
        <f>IF(S91="m3",Costs!R91,IF(S91="Each",'Data input'!G91,IF(S91="m",Costs!P91,IF(S91="m2",Costs!Q91,""))))</f>
        <v/>
      </c>
      <c r="U91" s="4" t="str">
        <f>IF(ISNA(VLOOKUP('Data input'!D91,$B$2:$J$200,9,FALSE)),"",VLOOKUP('Data input'!D91,$B$2:$J$200,9,FALSE))</f>
        <v/>
      </c>
      <c r="V91" s="4" t="e">
        <f t="shared" si="26"/>
        <v>#VALUE!</v>
      </c>
      <c r="W91">
        <f>'Data input'!M91</f>
        <v>0</v>
      </c>
      <c r="X91" s="4">
        <f t="shared" si="24"/>
        <v>0</v>
      </c>
      <c r="Y91" s="4" t="e">
        <f t="shared" si="27"/>
        <v>#VALUE!</v>
      </c>
      <c r="Z91" s="4" t="str">
        <f>IF(ISNA(VLOOKUP('Data input'!D91,$B$2:$E$200,4,FALSE)),"",VLOOKUP('Data input'!D91,$B$2:$E$200,4,FALSE))</f>
        <v/>
      </c>
      <c r="AA91" s="4" t="e">
        <f t="shared" si="25"/>
        <v>#VALUE!</v>
      </c>
      <c r="AB91">
        <f>'Data input'!N91</f>
        <v>0</v>
      </c>
      <c r="AC91">
        <f t="shared" si="28"/>
        <v>0</v>
      </c>
      <c r="AD91" s="4">
        <f t="shared" si="29"/>
        <v>0</v>
      </c>
      <c r="AE91" s="6">
        <f t="shared" si="30"/>
        <v>0</v>
      </c>
    </row>
    <row r="92" spans="1:31" x14ac:dyDescent="0.35">
      <c r="A92" t="str">
        <f>Lists!A$8</f>
        <v>Treated_wood_glass_plastic_including_wood_plastic_window_frames</v>
      </c>
      <c r="B92" t="s">
        <v>411</v>
      </c>
      <c r="C92" s="8" t="s">
        <v>352</v>
      </c>
      <c r="E92" s="136">
        <v>2.5581818181818181</v>
      </c>
      <c r="F92" s="14">
        <f>SUMIF('Data input'!D$3:D$202,B92,$P$3:$P$202)</f>
        <v>0</v>
      </c>
      <c r="G92" s="4">
        <f t="shared" si="32"/>
        <v>0</v>
      </c>
      <c r="H92" s="136">
        <v>3.1571212121212118</v>
      </c>
      <c r="I92" s="136"/>
      <c r="J92" s="6">
        <f t="shared" si="21"/>
        <v>3.1571212121212118</v>
      </c>
      <c r="K92" s="6">
        <f t="shared" si="22"/>
        <v>0</v>
      </c>
      <c r="L92" s="4">
        <f>SUMIF('Data input'!$D$3:$D$202,B92,$X$3:$X$202)</f>
        <v>0</v>
      </c>
      <c r="M92" s="4">
        <f>SUMIF('Data input'!$D$3:$D$202,B92,$AC$3:$AC$202)</f>
        <v>0</v>
      </c>
      <c r="N92" s="67">
        <f>SUMIF('Data input'!$D$3:$D$202,B92,$AD$3:$AD$202)</f>
        <v>0</v>
      </c>
      <c r="O92" s="30">
        <f>'Data input'!A92</f>
        <v>90</v>
      </c>
      <c r="P92" s="11">
        <f>'Data input'!G92*('Data input'!H92/1000)</f>
        <v>0</v>
      </c>
      <c r="Q92" s="11">
        <f>'Data input'!G92*('Data input'!H92/1000)*('Data input'!I92/1000)</f>
        <v>0</v>
      </c>
      <c r="R92" s="11">
        <f>'Data input'!G92*('Data input'!H92/1000)*('Data input'!I92/1000)*('Data input'!J92/1000)</f>
        <v>0</v>
      </c>
      <c r="S92" s="11" t="str">
        <f>IF(ISNA(VLOOKUP('Data input'!D92,$B$2:$C$200,2,FALSE)),"",VLOOKUP('Data input'!D92,$B$2:$C$200,2,FALSE))</f>
        <v/>
      </c>
      <c r="T92" s="11" t="str">
        <f>IF(S92="m3",Costs!R92,IF(S92="Each",'Data input'!G92,IF(S92="m",Costs!P92,IF(S92="m2",Costs!Q92,""))))</f>
        <v/>
      </c>
      <c r="U92" s="4" t="str">
        <f>IF(ISNA(VLOOKUP('Data input'!D92,$B$2:$J$200,9,FALSE)),"",VLOOKUP('Data input'!D92,$B$2:$J$200,9,FALSE))</f>
        <v/>
      </c>
      <c r="V92" s="4" t="e">
        <f t="shared" si="26"/>
        <v>#VALUE!</v>
      </c>
      <c r="W92">
        <f>'Data input'!M92</f>
        <v>0</v>
      </c>
      <c r="X92" s="4">
        <f t="shared" si="24"/>
        <v>0</v>
      </c>
      <c r="Y92" s="4" t="e">
        <f t="shared" si="27"/>
        <v>#VALUE!</v>
      </c>
      <c r="Z92" s="4" t="str">
        <f>IF(ISNA(VLOOKUP('Data input'!D92,$B$2:$E$200,4,FALSE)),"",VLOOKUP('Data input'!D92,$B$2:$E$200,4,FALSE))</f>
        <v/>
      </c>
      <c r="AA92" s="4" t="e">
        <f t="shared" si="25"/>
        <v>#VALUE!</v>
      </c>
      <c r="AB92">
        <f>'Data input'!N92</f>
        <v>0</v>
      </c>
      <c r="AC92">
        <f t="shared" si="28"/>
        <v>0</v>
      </c>
      <c r="AD92" s="4">
        <f t="shared" si="29"/>
        <v>0</v>
      </c>
      <c r="AE92" s="6">
        <f t="shared" si="30"/>
        <v>0</v>
      </c>
    </row>
    <row r="93" spans="1:31" x14ac:dyDescent="0.35">
      <c r="A93" t="str">
        <f>Lists!A$8</f>
        <v>Treated_wood_glass_plastic_including_wood_plastic_window_frames</v>
      </c>
      <c r="B93" t="s">
        <v>412</v>
      </c>
      <c r="C93" s="8" t="s">
        <v>362</v>
      </c>
      <c r="E93" s="136">
        <v>5.8168181818181823</v>
      </c>
      <c r="F93" s="14">
        <f>SUMIF('Data input'!D$3:D$202,B93,$Q$3:$Q$202)</f>
        <v>0</v>
      </c>
      <c r="G93" s="4">
        <f t="shared" si="32"/>
        <v>0</v>
      </c>
      <c r="H93" s="136">
        <v>9.461212121212121</v>
      </c>
      <c r="I93" s="136"/>
      <c r="J93" s="6">
        <f t="shared" si="21"/>
        <v>9.461212121212121</v>
      </c>
      <c r="K93" s="6">
        <f t="shared" si="22"/>
        <v>0</v>
      </c>
      <c r="L93" s="4">
        <f>SUMIF('Data input'!$D$3:$D$202,B93,$X$3:$X$202)</f>
        <v>0</v>
      </c>
      <c r="M93" s="4">
        <f>SUMIF('Data input'!$D$3:$D$202,B93,$AC$3:$AC$202)</f>
        <v>0</v>
      </c>
      <c r="N93" s="67">
        <f>SUMIF('Data input'!$D$3:$D$202,B93,$AD$3:$AD$202)</f>
        <v>0</v>
      </c>
      <c r="O93" s="30">
        <f>'Data input'!A93</f>
        <v>91</v>
      </c>
      <c r="P93" s="11">
        <f>'Data input'!G93*('Data input'!H93/1000)</f>
        <v>0</v>
      </c>
      <c r="Q93" s="11">
        <f>'Data input'!G93*('Data input'!H93/1000)*('Data input'!I93/1000)</f>
        <v>0</v>
      </c>
      <c r="R93" s="11">
        <f>'Data input'!G93*('Data input'!H93/1000)*('Data input'!I93/1000)*('Data input'!J93/1000)</f>
        <v>0</v>
      </c>
      <c r="S93" s="11" t="str">
        <f>IF(ISNA(VLOOKUP('Data input'!D93,$B$2:$C$200,2,FALSE)),"",VLOOKUP('Data input'!D93,$B$2:$C$200,2,FALSE))</f>
        <v/>
      </c>
      <c r="T93" s="11" t="str">
        <f>IF(S93="m3",Costs!R93,IF(S93="Each",'Data input'!G93,IF(S93="m",Costs!P93,IF(S93="m2",Costs!Q93,""))))</f>
        <v/>
      </c>
      <c r="U93" s="4" t="str">
        <f>IF(ISNA(VLOOKUP('Data input'!D93,$B$2:$J$200,9,FALSE)),"",VLOOKUP('Data input'!D93,$B$2:$J$200,9,FALSE))</f>
        <v/>
      </c>
      <c r="V93" s="4" t="e">
        <f t="shared" si="26"/>
        <v>#VALUE!</v>
      </c>
      <c r="W93">
        <f>'Data input'!M93</f>
        <v>0</v>
      </c>
      <c r="X93" s="4">
        <f t="shared" si="24"/>
        <v>0</v>
      </c>
      <c r="Y93" s="4" t="e">
        <f t="shared" si="27"/>
        <v>#VALUE!</v>
      </c>
      <c r="Z93" s="4" t="str">
        <f>IF(ISNA(VLOOKUP('Data input'!D93,$B$2:$E$200,4,FALSE)),"",VLOOKUP('Data input'!D93,$B$2:$E$200,4,FALSE))</f>
        <v/>
      </c>
      <c r="AA93" s="4" t="e">
        <f t="shared" si="25"/>
        <v>#VALUE!</v>
      </c>
      <c r="AB93">
        <f>'Data input'!N93</f>
        <v>0</v>
      </c>
      <c r="AC93">
        <f t="shared" si="28"/>
        <v>0</v>
      </c>
      <c r="AD93" s="4">
        <f t="shared" si="29"/>
        <v>0</v>
      </c>
      <c r="AE93" s="6">
        <f t="shared" si="30"/>
        <v>0</v>
      </c>
    </row>
    <row r="94" spans="1:31" x14ac:dyDescent="0.35">
      <c r="A94" t="str">
        <f>Lists!A$8</f>
        <v>Treated_wood_glass_plastic_including_wood_plastic_window_frames</v>
      </c>
      <c r="B94" t="s">
        <v>413</v>
      </c>
      <c r="C94" s="8" t="s">
        <v>372</v>
      </c>
      <c r="E94" s="136">
        <v>6070.606060606061</v>
      </c>
      <c r="F94" s="14">
        <f>SUMIF('Data input'!D$3:D$202,B94,$R$3:$R$202)</f>
        <v>0</v>
      </c>
      <c r="G94" s="4">
        <f t="shared" si="32"/>
        <v>0</v>
      </c>
      <c r="H94" s="136">
        <v>52.239696969696972</v>
      </c>
      <c r="I94" s="136"/>
      <c r="J94" s="6">
        <f t="shared" ref="J94:J121" si="33">H94+I94</f>
        <v>52.239696969696972</v>
      </c>
      <c r="K94" s="6">
        <f t="shared" si="22"/>
        <v>0</v>
      </c>
      <c r="L94" s="4">
        <f>SUMIF('Data input'!$D$3:$D$202,B94,$X$3:$X$202)</f>
        <v>0</v>
      </c>
      <c r="M94" s="4">
        <f>SUMIF('Data input'!$D$3:$D$202,B94,$AC$3:$AC$202)</f>
        <v>0</v>
      </c>
      <c r="N94" s="67">
        <f>SUMIF('Data input'!$D$3:$D$202,B94,$AD$3:$AD$202)</f>
        <v>0</v>
      </c>
      <c r="O94" s="30">
        <f>'Data input'!A94</f>
        <v>92</v>
      </c>
      <c r="P94" s="11">
        <f>'Data input'!G94*('Data input'!H94/1000)</f>
        <v>0</v>
      </c>
      <c r="Q94" s="11">
        <f>'Data input'!G94*('Data input'!H94/1000)*('Data input'!I94/1000)</f>
        <v>0</v>
      </c>
      <c r="R94" s="11">
        <f>'Data input'!G94*('Data input'!H94/1000)*('Data input'!I94/1000)*('Data input'!J94/1000)</f>
        <v>0</v>
      </c>
      <c r="S94" s="11" t="str">
        <f>IF(ISNA(VLOOKUP('Data input'!D94,$B$2:$C$200,2,FALSE)),"",VLOOKUP('Data input'!D94,$B$2:$C$200,2,FALSE))</f>
        <v/>
      </c>
      <c r="T94" s="11" t="str">
        <f>IF(S94="m3",Costs!R94,IF(S94="Each",'Data input'!G94,IF(S94="m",Costs!P94,IF(S94="m2",Costs!Q94,""))))</f>
        <v/>
      </c>
      <c r="U94" s="4" t="str">
        <f>IF(ISNA(VLOOKUP('Data input'!D94,$B$2:$J$200,9,FALSE)),"",VLOOKUP('Data input'!D94,$B$2:$J$200,9,FALSE))</f>
        <v/>
      </c>
      <c r="V94" s="4" t="e">
        <f t="shared" si="26"/>
        <v>#VALUE!</v>
      </c>
      <c r="W94">
        <f>'Data input'!M94</f>
        <v>0</v>
      </c>
      <c r="X94" s="4">
        <f t="shared" si="24"/>
        <v>0</v>
      </c>
      <c r="Y94" s="4" t="e">
        <f t="shared" si="27"/>
        <v>#VALUE!</v>
      </c>
      <c r="Z94" s="4" t="str">
        <f>IF(ISNA(VLOOKUP('Data input'!D94,$B$2:$E$200,4,FALSE)),"",VLOOKUP('Data input'!D94,$B$2:$E$200,4,FALSE))</f>
        <v/>
      </c>
      <c r="AA94" s="4" t="e">
        <f t="shared" si="25"/>
        <v>#VALUE!</v>
      </c>
      <c r="AB94">
        <f>'Data input'!N94</f>
        <v>0</v>
      </c>
      <c r="AC94">
        <f t="shared" si="28"/>
        <v>0</v>
      </c>
      <c r="AD94" s="4">
        <f t="shared" si="29"/>
        <v>0</v>
      </c>
      <c r="AE94" s="6">
        <f t="shared" si="30"/>
        <v>0</v>
      </c>
    </row>
    <row r="95" spans="1:31" x14ac:dyDescent="0.35">
      <c r="A95" t="str">
        <f>Lists!A$8</f>
        <v>Treated_wood_glass_plastic_including_wood_plastic_window_frames</v>
      </c>
      <c r="B95" t="s">
        <v>414</v>
      </c>
      <c r="C95" s="8" t="s">
        <v>372</v>
      </c>
      <c r="E95" s="136">
        <v>90.475378787878782</v>
      </c>
      <c r="F95" s="14">
        <f>SUMIF('Data input'!D$3:D$202,B95,$R$3:$R$202)</f>
        <v>0</v>
      </c>
      <c r="G95" s="4">
        <f t="shared" si="32"/>
        <v>0</v>
      </c>
      <c r="H95" s="136">
        <v>52.239696969696972</v>
      </c>
      <c r="I95" s="136"/>
      <c r="J95" s="6">
        <f t="shared" si="33"/>
        <v>52.239696969696972</v>
      </c>
      <c r="K95" s="6">
        <f t="shared" si="22"/>
        <v>0</v>
      </c>
      <c r="L95" s="4">
        <f>SUMIF('Data input'!$D$3:$D$202,B95,$X$3:$X$202)</f>
        <v>0</v>
      </c>
      <c r="M95" s="4">
        <f>SUMIF('Data input'!$D$3:$D$202,B95,$AC$3:$AC$202)</f>
        <v>0</v>
      </c>
      <c r="N95" s="67">
        <f>SUMIF('Data input'!$D$3:$D$202,B95,$AD$3:$AD$202)</f>
        <v>0</v>
      </c>
      <c r="O95" s="30">
        <f>'Data input'!A95</f>
        <v>93</v>
      </c>
      <c r="P95" s="11">
        <f>'Data input'!G95*('Data input'!H95/1000)</f>
        <v>0</v>
      </c>
      <c r="Q95" s="11">
        <f>'Data input'!G95*('Data input'!H95/1000)*('Data input'!I95/1000)</f>
        <v>0</v>
      </c>
      <c r="R95" s="11">
        <f>'Data input'!G95*('Data input'!H95/1000)*('Data input'!I95/1000)*('Data input'!J95/1000)</f>
        <v>0</v>
      </c>
      <c r="S95" s="11" t="str">
        <f>IF(ISNA(VLOOKUP('Data input'!D95,$B$2:$C$200,2,FALSE)),"",VLOOKUP('Data input'!D95,$B$2:$C$200,2,FALSE))</f>
        <v/>
      </c>
      <c r="T95" s="11" t="str">
        <f>IF(S95="m3",Costs!R95,IF(S95="Each",'Data input'!G95,IF(S95="m",Costs!P95,IF(S95="m2",Costs!Q95,""))))</f>
        <v/>
      </c>
      <c r="U95" s="4" t="str">
        <f>IF(ISNA(VLOOKUP('Data input'!D95,$B$2:$J$200,9,FALSE)),"",VLOOKUP('Data input'!D95,$B$2:$J$200,9,FALSE))</f>
        <v/>
      </c>
      <c r="V95" s="4" t="e">
        <f t="shared" si="26"/>
        <v>#VALUE!</v>
      </c>
      <c r="W95">
        <f>'Data input'!M95</f>
        <v>0</v>
      </c>
      <c r="X95" s="4">
        <f t="shared" si="24"/>
        <v>0</v>
      </c>
      <c r="Y95" s="4" t="e">
        <f t="shared" si="27"/>
        <v>#VALUE!</v>
      </c>
      <c r="Z95" s="4" t="str">
        <f>IF(ISNA(VLOOKUP('Data input'!D95,$B$2:$E$200,4,FALSE)),"",VLOOKUP('Data input'!D95,$B$2:$E$200,4,FALSE))</f>
        <v/>
      </c>
      <c r="AA95" s="4" t="e">
        <f t="shared" si="25"/>
        <v>#VALUE!</v>
      </c>
      <c r="AB95">
        <f>'Data input'!N95</f>
        <v>0</v>
      </c>
      <c r="AC95">
        <f t="shared" si="28"/>
        <v>0</v>
      </c>
      <c r="AD95" s="4">
        <f t="shared" si="29"/>
        <v>0</v>
      </c>
      <c r="AE95" s="6">
        <f t="shared" si="30"/>
        <v>0</v>
      </c>
    </row>
    <row r="96" spans="1:31" x14ac:dyDescent="0.35">
      <c r="A96" t="str">
        <f>Lists!A$8</f>
        <v>Treated_wood_glass_plastic_including_wood_plastic_window_frames</v>
      </c>
      <c r="B96" t="s">
        <v>415</v>
      </c>
      <c r="C96" s="8" t="s">
        <v>362</v>
      </c>
      <c r="E96" s="136">
        <v>57.30530303030303</v>
      </c>
      <c r="F96" s="14">
        <f>SUMIF('Data input'!D$3:D$202,B96,$Q$3:$Q$202)</f>
        <v>0</v>
      </c>
      <c r="G96" s="4">
        <f t="shared" si="32"/>
        <v>0</v>
      </c>
      <c r="H96" s="136">
        <v>26.48</v>
      </c>
      <c r="I96" s="136"/>
      <c r="J96" s="6">
        <f t="shared" si="33"/>
        <v>26.48</v>
      </c>
      <c r="K96" s="6">
        <f t="shared" si="22"/>
        <v>0</v>
      </c>
      <c r="L96" s="4">
        <f>SUMIF('Data input'!$D$3:$D$202,B96,$X$3:$X$202)</f>
        <v>0</v>
      </c>
      <c r="M96" s="4">
        <f>SUMIF('Data input'!$D$3:$D$202,B96,$AC$3:$AC$202)</f>
        <v>0</v>
      </c>
      <c r="N96" s="67">
        <f>SUMIF('Data input'!$D$3:$D$202,B96,$AD$3:$AD$202)</f>
        <v>0</v>
      </c>
      <c r="O96" s="30">
        <f>'Data input'!A96</f>
        <v>94</v>
      </c>
      <c r="P96" s="11">
        <f>'Data input'!G96*('Data input'!H96/1000)</f>
        <v>0</v>
      </c>
      <c r="Q96" s="11">
        <f>'Data input'!G96*('Data input'!H96/1000)*('Data input'!I96/1000)</f>
        <v>0</v>
      </c>
      <c r="R96" s="11">
        <f>'Data input'!G96*('Data input'!H96/1000)*('Data input'!I96/1000)*('Data input'!J96/1000)</f>
        <v>0</v>
      </c>
      <c r="S96" s="11" t="str">
        <f>IF(ISNA(VLOOKUP('Data input'!D96,$B$2:$C$200,2,FALSE)),"",VLOOKUP('Data input'!D96,$B$2:$C$200,2,FALSE))</f>
        <v/>
      </c>
      <c r="T96" s="11" t="str">
        <f>IF(S96="m3",Costs!R96,IF(S96="Each",'Data input'!G96,IF(S96="m",Costs!P96,IF(S96="m2",Costs!Q96,""))))</f>
        <v/>
      </c>
      <c r="U96" s="4" t="str">
        <f>IF(ISNA(VLOOKUP('Data input'!D96,$B$2:$J$200,9,FALSE)),"",VLOOKUP('Data input'!D96,$B$2:$J$200,9,FALSE))</f>
        <v/>
      </c>
      <c r="V96" s="4" t="e">
        <f t="shared" si="26"/>
        <v>#VALUE!</v>
      </c>
      <c r="W96">
        <f>'Data input'!M96</f>
        <v>0</v>
      </c>
      <c r="X96" s="4">
        <f t="shared" si="24"/>
        <v>0</v>
      </c>
      <c r="Y96" s="4" t="e">
        <f t="shared" si="27"/>
        <v>#VALUE!</v>
      </c>
      <c r="Z96" s="4" t="str">
        <f>IF(ISNA(VLOOKUP('Data input'!D96,$B$2:$E$200,4,FALSE)),"",VLOOKUP('Data input'!D96,$B$2:$E$200,4,FALSE))</f>
        <v/>
      </c>
      <c r="AA96" s="4" t="e">
        <f t="shared" si="25"/>
        <v>#VALUE!</v>
      </c>
      <c r="AB96">
        <f>'Data input'!N96</f>
        <v>0</v>
      </c>
      <c r="AC96">
        <f t="shared" si="28"/>
        <v>0</v>
      </c>
      <c r="AD96" s="4">
        <f t="shared" si="29"/>
        <v>0</v>
      </c>
      <c r="AE96" s="6">
        <f t="shared" si="30"/>
        <v>0</v>
      </c>
    </row>
    <row r="97" spans="1:31" x14ac:dyDescent="0.35">
      <c r="A97" t="str">
        <f>Lists!A$8</f>
        <v>Treated_wood_glass_plastic_including_wood_plastic_window_frames</v>
      </c>
      <c r="B97" t="s">
        <v>416</v>
      </c>
      <c r="C97" s="8" t="s">
        <v>342</v>
      </c>
      <c r="E97" s="136">
        <v>128.93439393939394</v>
      </c>
      <c r="F97" s="14">
        <f>SUMIF('Data input'!D$3:D$202,B97,'Data input'!$G$3:$G$202)</f>
        <v>0</v>
      </c>
      <c r="G97" s="4">
        <f t="shared" si="32"/>
        <v>0</v>
      </c>
      <c r="H97" s="136">
        <v>78.359545454545454</v>
      </c>
      <c r="I97" s="136"/>
      <c r="J97" s="6">
        <f t="shared" si="33"/>
        <v>78.359545454545454</v>
      </c>
      <c r="K97" s="6">
        <f t="shared" si="22"/>
        <v>0</v>
      </c>
      <c r="L97" s="4">
        <f>SUMIF('Data input'!$D$3:$D$202,B97,$X$3:$X$202)</f>
        <v>0</v>
      </c>
      <c r="M97" s="4">
        <f>SUMIF('Data input'!$D$3:$D$202,B97,$AC$3:$AC$202)</f>
        <v>0</v>
      </c>
      <c r="N97" s="67">
        <f>SUMIF('Data input'!$D$3:$D$202,B97,$AD$3:$AD$202)</f>
        <v>0</v>
      </c>
      <c r="O97" s="30">
        <f>'Data input'!A97</f>
        <v>95</v>
      </c>
      <c r="P97" s="11">
        <f>'Data input'!G97*('Data input'!H97/1000)</f>
        <v>0</v>
      </c>
      <c r="Q97" s="11">
        <f>'Data input'!G97*('Data input'!H97/1000)*('Data input'!I97/1000)</f>
        <v>0</v>
      </c>
      <c r="R97" s="11">
        <f>'Data input'!G97*('Data input'!H97/1000)*('Data input'!I97/1000)*('Data input'!J97/1000)</f>
        <v>0</v>
      </c>
      <c r="S97" s="11" t="str">
        <f>IF(ISNA(VLOOKUP('Data input'!D97,$B$2:$C$200,2,FALSE)),"",VLOOKUP('Data input'!D97,$B$2:$C$200,2,FALSE))</f>
        <v/>
      </c>
      <c r="T97" s="11" t="str">
        <f>IF(S97="m3",Costs!R97,IF(S97="Each",'Data input'!G97,IF(S97="m",Costs!P97,IF(S97="m2",Costs!Q97,""))))</f>
        <v/>
      </c>
      <c r="U97" s="4" t="str">
        <f>IF(ISNA(VLOOKUP('Data input'!D97,$B$2:$J$200,9,FALSE)),"",VLOOKUP('Data input'!D97,$B$2:$J$200,9,FALSE))</f>
        <v/>
      </c>
      <c r="V97" s="4" t="e">
        <f t="shared" si="26"/>
        <v>#VALUE!</v>
      </c>
      <c r="W97">
        <f>'Data input'!M97</f>
        <v>0</v>
      </c>
      <c r="X97" s="4">
        <f t="shared" si="24"/>
        <v>0</v>
      </c>
      <c r="Y97" s="4" t="e">
        <f t="shared" si="27"/>
        <v>#VALUE!</v>
      </c>
      <c r="Z97" s="4" t="str">
        <f>IF(ISNA(VLOOKUP('Data input'!D97,$B$2:$E$200,4,FALSE)),"",VLOOKUP('Data input'!D97,$B$2:$E$200,4,FALSE))</f>
        <v/>
      </c>
      <c r="AA97" s="4" t="e">
        <f t="shared" si="25"/>
        <v>#VALUE!</v>
      </c>
      <c r="AB97">
        <f>'Data input'!N97</f>
        <v>0</v>
      </c>
      <c r="AC97">
        <f t="shared" si="28"/>
        <v>0</v>
      </c>
      <c r="AD97" s="4">
        <f t="shared" si="29"/>
        <v>0</v>
      </c>
      <c r="AE97" s="6">
        <f t="shared" si="30"/>
        <v>0</v>
      </c>
    </row>
    <row r="98" spans="1:31" x14ac:dyDescent="0.35">
      <c r="A98" t="str">
        <f>Lists!A$9</f>
        <v>Glass_uncontaminated</v>
      </c>
      <c r="B98" t="s">
        <v>417</v>
      </c>
      <c r="C98" s="8" t="s">
        <v>362</v>
      </c>
      <c r="E98" s="136">
        <f>AVERAGE(E99:E101)</f>
        <v>253.58494949494948</v>
      </c>
      <c r="F98" s="14">
        <f>SUMIF('Data input'!D$3:D$202,B98,$Q$3:$Q$202)</f>
        <v>0</v>
      </c>
      <c r="G98" s="4">
        <f t="shared" si="32"/>
        <v>0</v>
      </c>
      <c r="H98" s="136">
        <f>AVERAGE(H99:H101)</f>
        <v>27.75</v>
      </c>
      <c r="I98" s="136"/>
      <c r="J98" s="6">
        <f t="shared" si="33"/>
        <v>27.75</v>
      </c>
      <c r="K98" s="6">
        <f t="shared" si="22"/>
        <v>0</v>
      </c>
      <c r="L98" s="4">
        <f>SUMIF('Data input'!$D$3:$D$202,B98,$X$3:$X$202)</f>
        <v>0</v>
      </c>
      <c r="M98" s="4">
        <f>SUMIF('Data input'!$D$3:$D$202,B98,$AC$3:$AC$202)</f>
        <v>0</v>
      </c>
      <c r="N98" s="67">
        <f>SUMIF('Data input'!$D$3:$D$202,B98,$AD$3:$AD$202)</f>
        <v>0</v>
      </c>
      <c r="O98" s="30">
        <f>'Data input'!A98</f>
        <v>96</v>
      </c>
      <c r="P98" s="11">
        <f>'Data input'!G98*('Data input'!H98/1000)</f>
        <v>0</v>
      </c>
      <c r="Q98" s="11">
        <f>'Data input'!G98*('Data input'!H98/1000)*('Data input'!I98/1000)</f>
        <v>0</v>
      </c>
      <c r="R98" s="11">
        <f>'Data input'!G98*('Data input'!H98/1000)*('Data input'!I98/1000)*('Data input'!J98/1000)</f>
        <v>0</v>
      </c>
      <c r="S98" s="11" t="str">
        <f>IF(ISNA(VLOOKUP('Data input'!D98,$B$2:$C$200,2,FALSE)),"",VLOOKUP('Data input'!D98,$B$2:$C$200,2,FALSE))</f>
        <v/>
      </c>
      <c r="T98" s="11" t="str">
        <f>IF(S98="m3",Costs!R98,IF(S98="Each",'Data input'!G98,IF(S98="m",Costs!P98,IF(S98="m2",Costs!Q98,""))))</f>
        <v/>
      </c>
      <c r="U98" s="4" t="str">
        <f>IF(ISNA(VLOOKUP('Data input'!D98,$B$2:$J$200,9,FALSE)),"",VLOOKUP('Data input'!D98,$B$2:$J$200,9,FALSE))</f>
        <v/>
      </c>
      <c r="V98" s="4" t="e">
        <f t="shared" si="26"/>
        <v>#VALUE!</v>
      </c>
      <c r="W98">
        <f>'Data input'!M98</f>
        <v>0</v>
      </c>
      <c r="X98" s="4">
        <f t="shared" si="24"/>
        <v>0</v>
      </c>
      <c r="Y98" s="4" t="e">
        <f t="shared" si="27"/>
        <v>#VALUE!</v>
      </c>
      <c r="Z98" s="4" t="str">
        <f>IF(ISNA(VLOOKUP('Data input'!D98,$B$2:$E$200,4,FALSE)),"",VLOOKUP('Data input'!D98,$B$2:$E$200,4,FALSE))</f>
        <v/>
      </c>
      <c r="AA98" s="4" t="e">
        <f t="shared" si="25"/>
        <v>#VALUE!</v>
      </c>
      <c r="AB98">
        <f>'Data input'!N98</f>
        <v>0</v>
      </c>
      <c r="AC98">
        <f t="shared" si="28"/>
        <v>0</v>
      </c>
      <c r="AD98" s="4">
        <f t="shared" si="29"/>
        <v>0</v>
      </c>
      <c r="AE98" s="6">
        <f t="shared" si="30"/>
        <v>0</v>
      </c>
    </row>
    <row r="99" spans="1:31" x14ac:dyDescent="0.35">
      <c r="A99" t="str">
        <f>Lists!A$9</f>
        <v>Glass_uncontaminated</v>
      </c>
      <c r="B99" t="s">
        <v>418</v>
      </c>
      <c r="C99" s="8" t="s">
        <v>362</v>
      </c>
      <c r="E99" s="136">
        <v>48.56484848484849</v>
      </c>
      <c r="F99" s="14">
        <f>SUMIF('Data input'!D$3:D$202,B99,$Q$3:$Q$202)</f>
        <v>0</v>
      </c>
      <c r="G99" s="4">
        <f t="shared" si="32"/>
        <v>0</v>
      </c>
      <c r="H99" s="136">
        <v>27.75</v>
      </c>
      <c r="I99" s="136"/>
      <c r="J99" s="6">
        <f t="shared" si="33"/>
        <v>27.75</v>
      </c>
      <c r="K99" s="6">
        <f t="shared" si="22"/>
        <v>0</v>
      </c>
      <c r="L99" s="4">
        <f>SUMIF('Data input'!$D$3:$D$202,B99,$X$3:$X$202)</f>
        <v>0</v>
      </c>
      <c r="M99" s="4">
        <f>SUMIF('Data input'!$D$3:$D$202,B99,$AC$3:$AC$202)</f>
        <v>0</v>
      </c>
      <c r="N99" s="67">
        <f>SUMIF('Data input'!$D$3:$D$202,B99,$AD$3:$AD$202)</f>
        <v>0</v>
      </c>
      <c r="O99" s="30">
        <f>'Data input'!A99</f>
        <v>97</v>
      </c>
      <c r="P99" s="11">
        <f>'Data input'!G99*('Data input'!H99/1000)</f>
        <v>0</v>
      </c>
      <c r="Q99" s="11">
        <f>'Data input'!G99*('Data input'!H99/1000)*('Data input'!I99/1000)</f>
        <v>0</v>
      </c>
      <c r="R99" s="11">
        <f>'Data input'!G99*('Data input'!H99/1000)*('Data input'!I99/1000)*('Data input'!J99/1000)</f>
        <v>0</v>
      </c>
      <c r="S99" s="11" t="str">
        <f>IF(ISNA(VLOOKUP('Data input'!D99,$B$2:$C$200,2,FALSE)),"",VLOOKUP('Data input'!D99,$B$2:$C$200,2,FALSE))</f>
        <v/>
      </c>
      <c r="T99" s="11" t="str">
        <f>IF(S99="m3",Costs!R99,IF(S99="Each",'Data input'!G99,IF(S99="m",Costs!P99,IF(S99="m2",Costs!Q99,""))))</f>
        <v/>
      </c>
      <c r="U99" s="4" t="str">
        <f>IF(ISNA(VLOOKUP('Data input'!D99,$B$2:$J$200,9,FALSE)),"",VLOOKUP('Data input'!D99,$B$2:$J$200,9,FALSE))</f>
        <v/>
      </c>
      <c r="V99" s="4" t="e">
        <f t="shared" si="26"/>
        <v>#VALUE!</v>
      </c>
      <c r="W99">
        <f>'Data input'!M99</f>
        <v>0</v>
      </c>
      <c r="X99" s="4">
        <f t="shared" ref="X99:X130" si="34">SUMIF(W99,"Yes",V99)</f>
        <v>0</v>
      </c>
      <c r="Y99" s="4" t="e">
        <f t="shared" si="27"/>
        <v>#VALUE!</v>
      </c>
      <c r="Z99" s="4" t="str">
        <f>IF(ISNA(VLOOKUP('Data input'!D99,$B$2:$E$200,4,FALSE)),"",VLOOKUP('Data input'!D99,$B$2:$E$200,4,FALSE))</f>
        <v/>
      </c>
      <c r="AA99" s="4" t="e">
        <f t="shared" ref="AA99:AA130" si="35">T99*Z99</f>
        <v>#VALUE!</v>
      </c>
      <c r="AB99">
        <f>'Data input'!N99</f>
        <v>0</v>
      </c>
      <c r="AC99">
        <f t="shared" si="28"/>
        <v>0</v>
      </c>
      <c r="AD99" s="4">
        <f t="shared" si="29"/>
        <v>0</v>
      </c>
      <c r="AE99" s="6">
        <f t="shared" si="30"/>
        <v>0</v>
      </c>
    </row>
    <row r="100" spans="1:31" x14ac:dyDescent="0.35">
      <c r="A100" t="str">
        <f>Lists!A$9</f>
        <v>Glass_uncontaminated</v>
      </c>
      <c r="B100" t="s">
        <v>419</v>
      </c>
      <c r="C100" s="8" t="s">
        <v>362</v>
      </c>
      <c r="E100" s="136">
        <v>231.25</v>
      </c>
      <c r="F100" s="14">
        <f>SUMIF('Data input'!D$3:D$202,B100,$Q$3:$Q$202)</f>
        <v>0</v>
      </c>
      <c r="G100" s="4">
        <f t="shared" si="32"/>
        <v>0</v>
      </c>
      <c r="H100" s="136">
        <f>H99</f>
        <v>27.75</v>
      </c>
      <c r="I100" s="136"/>
      <c r="J100" s="6">
        <f t="shared" si="33"/>
        <v>27.75</v>
      </c>
      <c r="K100" s="6">
        <f t="shared" si="22"/>
        <v>0</v>
      </c>
      <c r="L100" s="4">
        <f>SUMIF('Data input'!$D$3:$D$202,B100,$X$3:$X$202)</f>
        <v>0</v>
      </c>
      <c r="M100" s="4">
        <f>SUMIF('Data input'!$D$3:$D$202,B100,$AC$3:$AC$202)</f>
        <v>0</v>
      </c>
      <c r="N100" s="67">
        <f>SUMIF('Data input'!$D$3:$D$202,B100,$AD$3:$AD$202)</f>
        <v>0</v>
      </c>
      <c r="O100" s="30">
        <f>'Data input'!A100</f>
        <v>98</v>
      </c>
      <c r="P100" s="11">
        <f>'Data input'!G100*('Data input'!H100/1000)</f>
        <v>0</v>
      </c>
      <c r="Q100" s="11">
        <f>'Data input'!G100*('Data input'!H100/1000)*('Data input'!I100/1000)</f>
        <v>0</v>
      </c>
      <c r="R100" s="11">
        <f>'Data input'!G100*('Data input'!H100/1000)*('Data input'!I100/1000)*('Data input'!J100/1000)</f>
        <v>0</v>
      </c>
      <c r="S100" s="11" t="str">
        <f>IF(ISNA(VLOOKUP('Data input'!D100,$B$2:$C$200,2,FALSE)),"",VLOOKUP('Data input'!D100,$B$2:$C$200,2,FALSE))</f>
        <v/>
      </c>
      <c r="T100" s="11" t="str">
        <f>IF(S100="m3",Costs!R100,IF(S100="Each",'Data input'!G100,IF(S100="m",Costs!P100,IF(S100="m2",Costs!Q100,""))))</f>
        <v/>
      </c>
      <c r="U100" s="4" t="str">
        <f>IF(ISNA(VLOOKUP('Data input'!D100,$B$2:$J$200,9,FALSE)),"",VLOOKUP('Data input'!D100,$B$2:$J$200,9,FALSE))</f>
        <v/>
      </c>
      <c r="V100" s="4" t="e">
        <f t="shared" si="26"/>
        <v>#VALUE!</v>
      </c>
      <c r="W100">
        <f>'Data input'!M100</f>
        <v>0</v>
      </c>
      <c r="X100" s="4">
        <f t="shared" si="34"/>
        <v>0</v>
      </c>
      <c r="Y100" s="4" t="e">
        <f t="shared" si="27"/>
        <v>#VALUE!</v>
      </c>
      <c r="Z100" s="4" t="str">
        <f>IF(ISNA(VLOOKUP('Data input'!D100,$B$2:$E$200,4,FALSE)),"",VLOOKUP('Data input'!D100,$B$2:$E$200,4,FALSE))</f>
        <v/>
      </c>
      <c r="AA100" s="4" t="e">
        <f t="shared" si="35"/>
        <v>#VALUE!</v>
      </c>
      <c r="AB100">
        <f>'Data input'!N100</f>
        <v>0</v>
      </c>
      <c r="AC100">
        <f t="shared" si="28"/>
        <v>0</v>
      </c>
      <c r="AD100" s="4">
        <f t="shared" si="29"/>
        <v>0</v>
      </c>
      <c r="AE100" s="6">
        <f t="shared" si="30"/>
        <v>0</v>
      </c>
    </row>
    <row r="101" spans="1:31" x14ac:dyDescent="0.35">
      <c r="A101" t="str">
        <f>Lists!A$9</f>
        <v>Glass_uncontaminated</v>
      </c>
      <c r="B101" t="s">
        <v>420</v>
      </c>
      <c r="C101" s="8" t="s">
        <v>362</v>
      </c>
      <c r="E101" s="136">
        <v>480.94</v>
      </c>
      <c r="F101" s="14">
        <f>SUMIF('Data input'!D$3:D$202,B101,$Q$3:$Q$202)</f>
        <v>0</v>
      </c>
      <c r="G101" s="4">
        <f t="shared" si="32"/>
        <v>0</v>
      </c>
      <c r="H101" s="136">
        <f>H99</f>
        <v>27.75</v>
      </c>
      <c r="I101" s="136"/>
      <c r="J101" s="6">
        <f t="shared" si="33"/>
        <v>27.75</v>
      </c>
      <c r="K101" s="6">
        <f t="shared" si="22"/>
        <v>0</v>
      </c>
      <c r="L101" s="4">
        <f>SUMIF('Data input'!$D$3:$D$202,B101,$X$3:$X$202)</f>
        <v>0</v>
      </c>
      <c r="M101" s="4">
        <f>SUMIF('Data input'!$D$3:$D$202,B101,$AC$3:$AC$202)</f>
        <v>0</v>
      </c>
      <c r="N101" s="67">
        <f>SUMIF('Data input'!$D$3:$D$202,B101,$AD$3:$AD$202)</f>
        <v>0</v>
      </c>
      <c r="O101" s="30">
        <f>'Data input'!A101</f>
        <v>99</v>
      </c>
      <c r="P101" s="11">
        <f>'Data input'!G101*('Data input'!H101/1000)</f>
        <v>0</v>
      </c>
      <c r="Q101" s="11">
        <f>'Data input'!G101*('Data input'!H101/1000)*('Data input'!I101/1000)</f>
        <v>0</v>
      </c>
      <c r="R101" s="11">
        <f>'Data input'!G101*('Data input'!H101/1000)*('Data input'!I101/1000)*('Data input'!J101/1000)</f>
        <v>0</v>
      </c>
      <c r="S101" s="11" t="str">
        <f>IF(ISNA(VLOOKUP('Data input'!D101,$B$2:$C$200,2,FALSE)),"",VLOOKUP('Data input'!D101,$B$2:$C$200,2,FALSE))</f>
        <v/>
      </c>
      <c r="T101" s="11" t="str">
        <f>IF(S101="m3",Costs!R101,IF(S101="Each",'Data input'!G101,IF(S101="m",Costs!P101,IF(S101="m2",Costs!Q101,""))))</f>
        <v/>
      </c>
      <c r="U101" s="4" t="str">
        <f>IF(ISNA(VLOOKUP('Data input'!D101,$B$2:$J$200,9,FALSE)),"",VLOOKUP('Data input'!D101,$B$2:$J$200,9,FALSE))</f>
        <v/>
      </c>
      <c r="V101" s="4" t="e">
        <f t="shared" si="26"/>
        <v>#VALUE!</v>
      </c>
      <c r="W101">
        <f>'Data input'!M101</f>
        <v>0</v>
      </c>
      <c r="X101" s="4">
        <f t="shared" si="34"/>
        <v>0</v>
      </c>
      <c r="Y101" s="4" t="e">
        <f t="shared" si="27"/>
        <v>#VALUE!</v>
      </c>
      <c r="Z101" s="4" t="str">
        <f>IF(ISNA(VLOOKUP('Data input'!D101,$B$2:$E$200,4,FALSE)),"",VLOOKUP('Data input'!D101,$B$2:$E$200,4,FALSE))</f>
        <v/>
      </c>
      <c r="AA101" s="4" t="e">
        <f t="shared" si="35"/>
        <v>#VALUE!</v>
      </c>
      <c r="AB101">
        <f>'Data input'!N101</f>
        <v>0</v>
      </c>
      <c r="AC101">
        <f t="shared" si="28"/>
        <v>0</v>
      </c>
      <c r="AD101" s="4">
        <f t="shared" si="29"/>
        <v>0</v>
      </c>
      <c r="AE101" s="6">
        <f t="shared" si="30"/>
        <v>0</v>
      </c>
    </row>
    <row r="102" spans="1:31" x14ac:dyDescent="0.35">
      <c r="A102" t="str">
        <f>Lists!A$10</f>
        <v>Plastic_excluding_packaging_waste</v>
      </c>
      <c r="B102" t="s">
        <v>421</v>
      </c>
      <c r="C102" s="8" t="s">
        <v>362</v>
      </c>
      <c r="E102" s="136">
        <f>E104</f>
        <v>0.99484848484848487</v>
      </c>
      <c r="F102" s="14">
        <f>SUMIF('Data input'!D$3:D$202,B102,$Q$3:$Q$202)</f>
        <v>0</v>
      </c>
      <c r="G102" s="4">
        <f t="shared" si="32"/>
        <v>0</v>
      </c>
      <c r="H102" s="136">
        <f>H103</f>
        <v>6.040151515151515</v>
      </c>
      <c r="I102" s="136"/>
      <c r="J102" s="6">
        <f t="shared" si="33"/>
        <v>6.040151515151515</v>
      </c>
      <c r="K102" s="6">
        <f t="shared" si="22"/>
        <v>0</v>
      </c>
      <c r="L102" s="4">
        <f>SUMIF('Data input'!$D$3:$D$202,B102,$X$3:$X$202)</f>
        <v>0</v>
      </c>
      <c r="M102" s="4">
        <f>SUMIF('Data input'!$D$3:$D$202,B102,$AC$3:$AC$202)</f>
        <v>0</v>
      </c>
      <c r="N102" s="67">
        <f>SUMIF('Data input'!$D$3:$D$202,B102,$AD$3:$AD$202)</f>
        <v>0</v>
      </c>
      <c r="O102" s="30">
        <f>'Data input'!A102</f>
        <v>100</v>
      </c>
      <c r="P102" s="11">
        <f>'Data input'!G102*('Data input'!H102/1000)</f>
        <v>0</v>
      </c>
      <c r="Q102" s="11">
        <f>'Data input'!G102*('Data input'!H102/1000)*('Data input'!I102/1000)</f>
        <v>0</v>
      </c>
      <c r="R102" s="11">
        <f>'Data input'!G102*('Data input'!H102/1000)*('Data input'!I102/1000)*('Data input'!J102/1000)</f>
        <v>0</v>
      </c>
      <c r="S102" s="11" t="str">
        <f>IF(ISNA(VLOOKUP('Data input'!D102,$B$2:$C$200,2,FALSE)),"",VLOOKUP('Data input'!D102,$B$2:$C$200,2,FALSE))</f>
        <v/>
      </c>
      <c r="T102" s="11" t="str">
        <f>IF(S102="m3",Costs!R102,IF(S102="Each",'Data input'!G102,IF(S102="m",Costs!P102,IF(S102="m2",Costs!Q102,""))))</f>
        <v/>
      </c>
      <c r="U102" s="4" t="str">
        <f>IF(ISNA(VLOOKUP('Data input'!D102,$B$2:$J$200,9,FALSE)),"",VLOOKUP('Data input'!D102,$B$2:$J$200,9,FALSE))</f>
        <v/>
      </c>
      <c r="V102" s="4" t="e">
        <f t="shared" si="26"/>
        <v>#VALUE!</v>
      </c>
      <c r="W102">
        <f>'Data input'!M102</f>
        <v>0</v>
      </c>
      <c r="X102" s="4">
        <f t="shared" si="34"/>
        <v>0</v>
      </c>
      <c r="Y102" s="4" t="e">
        <f t="shared" si="27"/>
        <v>#VALUE!</v>
      </c>
      <c r="Z102" s="4" t="str">
        <f>IF(ISNA(VLOOKUP('Data input'!D102,$B$2:$E$200,4,FALSE)),"",VLOOKUP('Data input'!D102,$B$2:$E$200,4,FALSE))</f>
        <v/>
      </c>
      <c r="AA102" s="4" t="e">
        <f t="shared" si="35"/>
        <v>#VALUE!</v>
      </c>
      <c r="AB102">
        <f>'Data input'!N102</f>
        <v>0</v>
      </c>
      <c r="AC102">
        <f t="shared" si="28"/>
        <v>0</v>
      </c>
      <c r="AD102" s="4">
        <f t="shared" si="29"/>
        <v>0</v>
      </c>
      <c r="AE102" s="6">
        <f t="shared" si="30"/>
        <v>0</v>
      </c>
    </row>
    <row r="103" spans="1:31" x14ac:dyDescent="0.35">
      <c r="A103" t="str">
        <f>Lists!A$10</f>
        <v>Plastic_excluding_packaging_waste</v>
      </c>
      <c r="B103" t="s">
        <v>422</v>
      </c>
      <c r="C103" s="8" t="s">
        <v>352</v>
      </c>
      <c r="E103" s="136">
        <v>13.603030303030303</v>
      </c>
      <c r="F103" s="14">
        <f>SUMIF('Data input'!D$3:D$202,B103,$P$3:$P$202)</f>
        <v>0</v>
      </c>
      <c r="G103" s="4">
        <f t="shared" si="32"/>
        <v>0</v>
      </c>
      <c r="H103" s="136">
        <v>6.040151515151515</v>
      </c>
      <c r="I103" s="136"/>
      <c r="J103" s="6">
        <f t="shared" si="33"/>
        <v>6.040151515151515</v>
      </c>
      <c r="K103" s="6">
        <f t="shared" si="22"/>
        <v>0</v>
      </c>
      <c r="L103" s="4">
        <f>SUMIF('Data input'!$D$3:$D$202,B103,$X$3:$X$202)</f>
        <v>0</v>
      </c>
      <c r="M103" s="4">
        <f>SUMIF('Data input'!$D$3:$D$202,B103,$AC$3:$AC$202)</f>
        <v>0</v>
      </c>
      <c r="N103" s="67">
        <f>SUMIF('Data input'!$D$3:$D$202,B103,$AD$3:$AD$202)</f>
        <v>0</v>
      </c>
      <c r="O103" s="30">
        <f>'Data input'!A103</f>
        <v>101</v>
      </c>
      <c r="P103" s="11">
        <f>'Data input'!G103*('Data input'!H103/1000)</f>
        <v>0</v>
      </c>
      <c r="Q103" s="11">
        <f>'Data input'!G103*('Data input'!H103/1000)*('Data input'!I103/1000)</f>
        <v>0</v>
      </c>
      <c r="R103" s="11">
        <f>'Data input'!G103*('Data input'!H103/1000)*('Data input'!I103/1000)*('Data input'!J103/1000)</f>
        <v>0</v>
      </c>
      <c r="S103" s="11" t="str">
        <f>IF(ISNA(VLOOKUP('Data input'!D103,$B$2:$C$200,2,FALSE)),"",VLOOKUP('Data input'!D103,$B$2:$C$200,2,FALSE))</f>
        <v/>
      </c>
      <c r="T103" s="11" t="str">
        <f>IF(S103="m3",Costs!R103,IF(S103="Each",'Data input'!G103,IF(S103="m",Costs!P103,IF(S103="m2",Costs!Q103,""))))</f>
        <v/>
      </c>
      <c r="U103" s="4" t="str">
        <f>IF(ISNA(VLOOKUP('Data input'!D103,$B$2:$J$200,9,FALSE)),"",VLOOKUP('Data input'!D103,$B$2:$J$200,9,FALSE))</f>
        <v/>
      </c>
      <c r="V103" s="4" t="e">
        <f t="shared" si="26"/>
        <v>#VALUE!</v>
      </c>
      <c r="W103">
        <f>'Data input'!M103</f>
        <v>0</v>
      </c>
      <c r="X103" s="4">
        <f t="shared" si="34"/>
        <v>0</v>
      </c>
      <c r="Y103" s="4" t="e">
        <f t="shared" si="27"/>
        <v>#VALUE!</v>
      </c>
      <c r="Z103" s="4" t="str">
        <f>IF(ISNA(VLOOKUP('Data input'!D103,$B$2:$E$200,4,FALSE)),"",VLOOKUP('Data input'!D103,$B$2:$E$200,4,FALSE))</f>
        <v/>
      </c>
      <c r="AA103" s="4" t="e">
        <f t="shared" si="35"/>
        <v>#VALUE!</v>
      </c>
      <c r="AB103">
        <f>'Data input'!N103</f>
        <v>0</v>
      </c>
      <c r="AC103">
        <f t="shared" si="28"/>
        <v>0</v>
      </c>
      <c r="AD103" s="4">
        <f t="shared" si="29"/>
        <v>0</v>
      </c>
      <c r="AE103" s="6">
        <f t="shared" si="30"/>
        <v>0</v>
      </c>
    </row>
    <row r="104" spans="1:31" x14ac:dyDescent="0.35">
      <c r="A104" t="str">
        <f>Lists!A$10</f>
        <v>Plastic_excluding_packaging_waste</v>
      </c>
      <c r="B104" t="s">
        <v>423</v>
      </c>
      <c r="C104" s="8" t="s">
        <v>362</v>
      </c>
      <c r="E104" s="136">
        <v>0.99484848484848487</v>
      </c>
      <c r="F104" s="14">
        <f>SUMIF('Data input'!D$3:D$202,B104,$Q$3:$Q$202)</f>
        <v>0</v>
      </c>
      <c r="G104" s="4">
        <f t="shared" si="32"/>
        <v>0</v>
      </c>
      <c r="H104" s="136">
        <v>0.42636363636363633</v>
      </c>
      <c r="I104" s="136"/>
      <c r="J104" s="6">
        <f t="shared" si="33"/>
        <v>0.42636363636363633</v>
      </c>
      <c r="K104" s="6">
        <f t="shared" si="22"/>
        <v>0</v>
      </c>
      <c r="L104" s="4">
        <f>SUMIF('Data input'!$D$3:$D$202,B104,$X$3:$X$202)</f>
        <v>0</v>
      </c>
      <c r="M104" s="4">
        <f>SUMIF('Data input'!$D$3:$D$202,B104,$AC$3:$AC$202)</f>
        <v>0</v>
      </c>
      <c r="N104" s="67">
        <f>SUMIF('Data input'!$D$3:$D$202,B104,$AD$3:$AD$202)</f>
        <v>0</v>
      </c>
      <c r="O104" s="30">
        <f>'Data input'!A104</f>
        <v>102</v>
      </c>
      <c r="P104" s="11">
        <f>'Data input'!G104*('Data input'!H104/1000)</f>
        <v>0</v>
      </c>
      <c r="Q104" s="11">
        <f>'Data input'!G104*('Data input'!H104/1000)*('Data input'!I104/1000)</f>
        <v>0</v>
      </c>
      <c r="R104" s="11">
        <f>'Data input'!G104*('Data input'!H104/1000)*('Data input'!I104/1000)*('Data input'!J104/1000)</f>
        <v>0</v>
      </c>
      <c r="S104" s="11" t="str">
        <f>IF(ISNA(VLOOKUP('Data input'!D104,$B$2:$C$200,2,FALSE)),"",VLOOKUP('Data input'!D104,$B$2:$C$200,2,FALSE))</f>
        <v/>
      </c>
      <c r="T104" s="11" t="str">
        <f>IF(S104="m3",Costs!R104,IF(S104="Each",'Data input'!G104,IF(S104="m",Costs!P104,IF(S104="m2",Costs!Q104,""))))</f>
        <v/>
      </c>
      <c r="U104" s="4" t="str">
        <f>IF(ISNA(VLOOKUP('Data input'!D104,$B$2:$J$200,9,FALSE)),"",VLOOKUP('Data input'!D104,$B$2:$J$200,9,FALSE))</f>
        <v/>
      </c>
      <c r="V104" s="4" t="e">
        <f t="shared" si="26"/>
        <v>#VALUE!</v>
      </c>
      <c r="W104">
        <f>'Data input'!M104</f>
        <v>0</v>
      </c>
      <c r="X104" s="4">
        <f t="shared" si="34"/>
        <v>0</v>
      </c>
      <c r="Y104" s="4" t="e">
        <f t="shared" si="27"/>
        <v>#VALUE!</v>
      </c>
      <c r="Z104" s="4" t="str">
        <f>IF(ISNA(VLOOKUP('Data input'!D104,$B$2:$E$200,4,FALSE)),"",VLOOKUP('Data input'!D104,$B$2:$E$200,4,FALSE))</f>
        <v/>
      </c>
      <c r="AA104" s="4" t="e">
        <f t="shared" si="35"/>
        <v>#VALUE!</v>
      </c>
      <c r="AB104">
        <f>'Data input'!N104</f>
        <v>0</v>
      </c>
      <c r="AC104">
        <f t="shared" si="28"/>
        <v>0</v>
      </c>
      <c r="AD104" s="4">
        <f t="shared" si="29"/>
        <v>0</v>
      </c>
      <c r="AE104" s="6">
        <f t="shared" si="30"/>
        <v>0</v>
      </c>
    </row>
    <row r="105" spans="1:31" x14ac:dyDescent="0.35">
      <c r="A105" t="str">
        <f>Lists!A$11</f>
        <v>Bituminous_mixtures_containing_coal_tar</v>
      </c>
      <c r="B105" t="s">
        <v>424</v>
      </c>
      <c r="C105" s="8" t="s">
        <v>362</v>
      </c>
      <c r="E105" s="136">
        <f>AVERAGE(E106:E110)</f>
        <v>27.854272727272729</v>
      </c>
      <c r="F105" s="14">
        <f>SUMIF('Data input'!D$3:D$202,B105,$Q$3:$Q$202)</f>
        <v>0</v>
      </c>
      <c r="G105" s="4">
        <f t="shared" si="32"/>
        <v>0</v>
      </c>
      <c r="H105" s="136">
        <v>53.6710606060606</v>
      </c>
      <c r="I105" s="136"/>
      <c r="J105" s="6">
        <f t="shared" si="33"/>
        <v>53.6710606060606</v>
      </c>
      <c r="K105" s="6">
        <f t="shared" si="22"/>
        <v>0</v>
      </c>
      <c r="L105" s="4">
        <f>SUMIF('Data input'!$D$3:$D$202,B105,$X$3:$X$202)</f>
        <v>0</v>
      </c>
      <c r="M105" s="4">
        <f>SUMIF('Data input'!$D$3:$D$202,B105,$AC$3:$AC$202)</f>
        <v>0</v>
      </c>
      <c r="N105" s="67">
        <f>SUMIF('Data input'!$D$3:$D$202,B105,$AD$3:$AD$202)</f>
        <v>0</v>
      </c>
      <c r="O105" s="30">
        <f>'Data input'!A105</f>
        <v>103</v>
      </c>
      <c r="P105" s="11">
        <f>'Data input'!G105*('Data input'!H105/1000)</f>
        <v>0</v>
      </c>
      <c r="Q105" s="11">
        <f>'Data input'!G105*('Data input'!H105/1000)*('Data input'!I105/1000)</f>
        <v>0</v>
      </c>
      <c r="R105" s="11">
        <f>'Data input'!G105*('Data input'!H105/1000)*('Data input'!I105/1000)*('Data input'!J105/1000)</f>
        <v>0</v>
      </c>
      <c r="S105" s="11" t="str">
        <f>IF(ISNA(VLOOKUP('Data input'!D105,$B$2:$C$200,2,FALSE)),"",VLOOKUP('Data input'!D105,$B$2:$C$200,2,FALSE))</f>
        <v/>
      </c>
      <c r="T105" s="11" t="str">
        <f>IF(S105="m3",Costs!R105,IF(S105="Each",'Data input'!G105,IF(S105="m",Costs!P105,IF(S105="m2",Costs!Q105,""))))</f>
        <v/>
      </c>
      <c r="U105" s="4" t="str">
        <f>IF(ISNA(VLOOKUP('Data input'!D105,$B$2:$J$200,9,FALSE)),"",VLOOKUP('Data input'!D105,$B$2:$J$200,9,FALSE))</f>
        <v/>
      </c>
      <c r="V105" s="4" t="e">
        <f t="shared" si="26"/>
        <v>#VALUE!</v>
      </c>
      <c r="W105">
        <f>'Data input'!M105</f>
        <v>0</v>
      </c>
      <c r="X105" s="4">
        <f t="shared" si="34"/>
        <v>0</v>
      </c>
      <c r="Y105" s="4" t="e">
        <f t="shared" si="27"/>
        <v>#VALUE!</v>
      </c>
      <c r="Z105" s="4" t="str">
        <f>IF(ISNA(VLOOKUP('Data input'!D105,$B$2:$E$200,4,FALSE)),"",VLOOKUP('Data input'!D105,$B$2:$E$200,4,FALSE))</f>
        <v/>
      </c>
      <c r="AA105" s="4" t="e">
        <f t="shared" si="35"/>
        <v>#VALUE!</v>
      </c>
      <c r="AB105">
        <f>'Data input'!N105</f>
        <v>0</v>
      </c>
      <c r="AC105">
        <f t="shared" si="28"/>
        <v>0</v>
      </c>
      <c r="AD105" s="4">
        <f t="shared" si="29"/>
        <v>0</v>
      </c>
      <c r="AE105" s="6">
        <f t="shared" si="30"/>
        <v>0</v>
      </c>
    </row>
    <row r="106" spans="1:31" x14ac:dyDescent="0.35">
      <c r="A106" t="str">
        <f>Lists!A$12</f>
        <v>Other_bituminous_mixtures</v>
      </c>
      <c r="B106" t="s">
        <v>425</v>
      </c>
      <c r="C106" s="8" t="s">
        <v>362</v>
      </c>
      <c r="E106" s="136">
        <v>20.329999999999998</v>
      </c>
      <c r="F106" s="14">
        <f>SUMIF('Data input'!D$3:D$202,B106,$Q$3:$Q$202)</f>
        <v>0</v>
      </c>
      <c r="G106" s="4">
        <f t="shared" si="32"/>
        <v>0</v>
      </c>
      <c r="H106" s="136">
        <v>53.6710606060606</v>
      </c>
      <c r="I106" s="136"/>
      <c r="J106" s="6">
        <f t="shared" si="33"/>
        <v>53.6710606060606</v>
      </c>
      <c r="K106" s="6">
        <f t="shared" si="22"/>
        <v>0</v>
      </c>
      <c r="L106" s="4">
        <f>SUMIF('Data input'!$D$3:$D$202,B106,$X$3:$X$202)</f>
        <v>0</v>
      </c>
      <c r="M106" s="4">
        <f>SUMIF('Data input'!$D$3:$D$202,B106,$AC$3:$AC$202)</f>
        <v>0</v>
      </c>
      <c r="N106" s="67">
        <f>SUMIF('Data input'!$D$3:$D$202,B106,$AD$3:$AD$202)</f>
        <v>0</v>
      </c>
      <c r="O106" s="30">
        <f>'Data input'!A106</f>
        <v>104</v>
      </c>
      <c r="P106" s="11">
        <f>'Data input'!G106*('Data input'!H106/1000)</f>
        <v>0</v>
      </c>
      <c r="Q106" s="11">
        <f>'Data input'!G106*('Data input'!H106/1000)*('Data input'!I106/1000)</f>
        <v>0</v>
      </c>
      <c r="R106" s="11">
        <f>'Data input'!G106*('Data input'!H106/1000)*('Data input'!I106/1000)*('Data input'!J106/1000)</f>
        <v>0</v>
      </c>
      <c r="S106" s="11" t="str">
        <f>IF(ISNA(VLOOKUP('Data input'!D106,$B$2:$C$200,2,FALSE)),"",VLOOKUP('Data input'!D106,$B$2:$C$200,2,FALSE))</f>
        <v/>
      </c>
      <c r="T106" s="11" t="str">
        <f>IF(S106="m3",Costs!R106,IF(S106="Each",'Data input'!G106,IF(S106="m",Costs!P106,IF(S106="m2",Costs!Q106,""))))</f>
        <v/>
      </c>
      <c r="U106" s="4" t="str">
        <f>IF(ISNA(VLOOKUP('Data input'!D106,$B$2:$J$200,9,FALSE)),"",VLOOKUP('Data input'!D106,$B$2:$J$200,9,FALSE))</f>
        <v/>
      </c>
      <c r="V106" s="4" t="e">
        <f t="shared" si="26"/>
        <v>#VALUE!</v>
      </c>
      <c r="W106">
        <f>'Data input'!M106</f>
        <v>0</v>
      </c>
      <c r="X106" s="4">
        <f t="shared" si="34"/>
        <v>0</v>
      </c>
      <c r="Y106" s="4" t="e">
        <f t="shared" si="27"/>
        <v>#VALUE!</v>
      </c>
      <c r="Z106" s="4" t="str">
        <f>IF(ISNA(VLOOKUP('Data input'!D106,$B$2:$E$200,4,FALSE)),"",VLOOKUP('Data input'!D106,$B$2:$E$200,4,FALSE))</f>
        <v/>
      </c>
      <c r="AA106" s="4" t="e">
        <f t="shared" si="35"/>
        <v>#VALUE!</v>
      </c>
      <c r="AB106">
        <f>'Data input'!N106</f>
        <v>0</v>
      </c>
      <c r="AC106">
        <f t="shared" si="28"/>
        <v>0</v>
      </c>
      <c r="AD106" s="4">
        <f t="shared" si="29"/>
        <v>0</v>
      </c>
      <c r="AE106" s="6">
        <f t="shared" si="30"/>
        <v>0</v>
      </c>
    </row>
    <row r="107" spans="1:31" x14ac:dyDescent="0.35">
      <c r="A107" t="str">
        <f>Lists!A$12</f>
        <v>Other_bituminous_mixtures</v>
      </c>
      <c r="B107" t="s">
        <v>426</v>
      </c>
      <c r="C107" s="8" t="s">
        <v>362</v>
      </c>
      <c r="E107" s="136">
        <v>27.58</v>
      </c>
      <c r="F107" s="14">
        <f>SUMIF('Data input'!D$3:D$202,B107,$Q$3:$Q$202)</f>
        <v>0</v>
      </c>
      <c r="G107" s="4">
        <f t="shared" si="32"/>
        <v>0</v>
      </c>
      <c r="H107" s="136">
        <v>53.6710606060606</v>
      </c>
      <c r="I107" s="136"/>
      <c r="J107" s="6">
        <f t="shared" si="33"/>
        <v>53.6710606060606</v>
      </c>
      <c r="K107" s="6">
        <f t="shared" si="22"/>
        <v>0</v>
      </c>
      <c r="L107" s="4">
        <f>SUMIF('Data input'!$D$3:$D$202,B107,$X$3:$X$202)</f>
        <v>0</v>
      </c>
      <c r="M107" s="4">
        <f>SUMIF('Data input'!$D$3:$D$202,B107,$AC$3:$AC$202)</f>
        <v>0</v>
      </c>
      <c r="N107" s="67">
        <f>SUMIF('Data input'!$D$3:$D$202,B107,$AD$3:$AD$202)</f>
        <v>0</v>
      </c>
      <c r="O107" s="30">
        <f>'Data input'!A107</f>
        <v>105</v>
      </c>
      <c r="P107" s="11">
        <f>'Data input'!G107*('Data input'!H107/1000)</f>
        <v>0</v>
      </c>
      <c r="Q107" s="11">
        <f>'Data input'!G107*('Data input'!H107/1000)*('Data input'!I107/1000)</f>
        <v>0</v>
      </c>
      <c r="R107" s="11">
        <f>'Data input'!G107*('Data input'!H107/1000)*('Data input'!I107/1000)*('Data input'!J107/1000)</f>
        <v>0</v>
      </c>
      <c r="S107" s="11" t="str">
        <f>IF(ISNA(VLOOKUP('Data input'!D107,$B$2:$C$200,2,FALSE)),"",VLOOKUP('Data input'!D107,$B$2:$C$200,2,FALSE))</f>
        <v/>
      </c>
      <c r="T107" s="11" t="str">
        <f>IF(S107="m3",Costs!R107,IF(S107="Each",'Data input'!G107,IF(S107="m",Costs!P107,IF(S107="m2",Costs!Q107,""))))</f>
        <v/>
      </c>
      <c r="U107" s="4" t="str">
        <f>IF(ISNA(VLOOKUP('Data input'!D107,$B$2:$J$200,9,FALSE)),"",VLOOKUP('Data input'!D107,$B$2:$J$200,9,FALSE))</f>
        <v/>
      </c>
      <c r="V107" s="4" t="e">
        <f t="shared" si="26"/>
        <v>#VALUE!</v>
      </c>
      <c r="W107">
        <f>'Data input'!M107</f>
        <v>0</v>
      </c>
      <c r="X107" s="4">
        <f t="shared" si="34"/>
        <v>0</v>
      </c>
      <c r="Y107" s="4" t="e">
        <f t="shared" si="27"/>
        <v>#VALUE!</v>
      </c>
      <c r="Z107" s="4" t="str">
        <f>IF(ISNA(VLOOKUP('Data input'!D107,$B$2:$E$200,4,FALSE)),"",VLOOKUP('Data input'!D107,$B$2:$E$200,4,FALSE))</f>
        <v/>
      </c>
      <c r="AA107" s="4" t="e">
        <f t="shared" si="35"/>
        <v>#VALUE!</v>
      </c>
      <c r="AB107">
        <f>'Data input'!N107</f>
        <v>0</v>
      </c>
      <c r="AC107">
        <f t="shared" si="28"/>
        <v>0</v>
      </c>
      <c r="AD107" s="4">
        <f t="shared" si="29"/>
        <v>0</v>
      </c>
      <c r="AE107" s="6">
        <f t="shared" si="30"/>
        <v>0</v>
      </c>
    </row>
    <row r="108" spans="1:31" x14ac:dyDescent="0.35">
      <c r="A108" t="str">
        <f>Lists!A$12</f>
        <v>Other_bituminous_mixtures</v>
      </c>
      <c r="B108" t="s">
        <v>427</v>
      </c>
      <c r="C108" s="8" t="s">
        <v>362</v>
      </c>
      <c r="E108" s="136">
        <v>33.799999999999997</v>
      </c>
      <c r="F108" s="14">
        <f>SUMIF('Data input'!D$3:D$202,B108,$Q$3:$Q$202)</f>
        <v>0</v>
      </c>
      <c r="G108" s="4">
        <f t="shared" si="32"/>
        <v>0</v>
      </c>
      <c r="H108" s="136">
        <v>53.6710606060606</v>
      </c>
      <c r="I108" s="136"/>
      <c r="J108" s="6">
        <f t="shared" si="33"/>
        <v>53.6710606060606</v>
      </c>
      <c r="K108" s="6">
        <f t="shared" si="22"/>
        <v>0</v>
      </c>
      <c r="L108" s="4">
        <f>SUMIF('Data input'!$D$3:$D$202,B108,$X$3:$X$202)</f>
        <v>0</v>
      </c>
      <c r="M108" s="4">
        <f>SUMIF('Data input'!$D$3:$D$202,B108,$AC$3:$AC$202)</f>
        <v>0</v>
      </c>
      <c r="N108" s="67">
        <f>SUMIF('Data input'!$D$3:$D$202,B108,$AD$3:$AD$202)</f>
        <v>0</v>
      </c>
      <c r="O108" s="30">
        <f>'Data input'!A108</f>
        <v>106</v>
      </c>
      <c r="P108" s="11">
        <f>'Data input'!G108*('Data input'!H108/1000)</f>
        <v>0</v>
      </c>
      <c r="Q108" s="11">
        <f>'Data input'!G108*('Data input'!H108/1000)*('Data input'!I108/1000)</f>
        <v>0</v>
      </c>
      <c r="R108" s="11">
        <f>'Data input'!G108*('Data input'!H108/1000)*('Data input'!I108/1000)*('Data input'!J108/1000)</f>
        <v>0</v>
      </c>
      <c r="S108" s="11" t="str">
        <f>IF(ISNA(VLOOKUP('Data input'!D108,$B$2:$C$200,2,FALSE)),"",VLOOKUP('Data input'!D108,$B$2:$C$200,2,FALSE))</f>
        <v/>
      </c>
      <c r="T108" s="11" t="str">
        <f>IF(S108="m3",Costs!R108,IF(S108="Each",'Data input'!G108,IF(S108="m",Costs!P108,IF(S108="m2",Costs!Q108,""))))</f>
        <v/>
      </c>
      <c r="U108" s="4" t="str">
        <f>IF(ISNA(VLOOKUP('Data input'!D108,$B$2:$J$200,9,FALSE)),"",VLOOKUP('Data input'!D108,$B$2:$J$200,9,FALSE))</f>
        <v/>
      </c>
      <c r="V108" s="4" t="e">
        <f t="shared" si="26"/>
        <v>#VALUE!</v>
      </c>
      <c r="W108">
        <f>'Data input'!M108</f>
        <v>0</v>
      </c>
      <c r="X108" s="4">
        <f t="shared" si="34"/>
        <v>0</v>
      </c>
      <c r="Y108" s="4" t="e">
        <f t="shared" si="27"/>
        <v>#VALUE!</v>
      </c>
      <c r="Z108" s="4" t="str">
        <f>IF(ISNA(VLOOKUP('Data input'!D108,$B$2:$E$200,4,FALSE)),"",VLOOKUP('Data input'!D108,$B$2:$E$200,4,FALSE))</f>
        <v/>
      </c>
      <c r="AA108" s="4" t="e">
        <f t="shared" si="35"/>
        <v>#VALUE!</v>
      </c>
      <c r="AB108">
        <f>'Data input'!N108</f>
        <v>0</v>
      </c>
      <c r="AC108">
        <f t="shared" si="28"/>
        <v>0</v>
      </c>
      <c r="AD108" s="4">
        <f t="shared" si="29"/>
        <v>0</v>
      </c>
      <c r="AE108" s="6">
        <f t="shared" si="30"/>
        <v>0</v>
      </c>
    </row>
    <row r="109" spans="1:31" x14ac:dyDescent="0.35">
      <c r="A109" t="str">
        <f>Lists!A$12</f>
        <v>Other_bituminous_mixtures</v>
      </c>
      <c r="B109" t="s">
        <v>428</v>
      </c>
      <c r="C109" s="8" t="s">
        <v>362</v>
      </c>
      <c r="E109" s="136">
        <v>48.76</v>
      </c>
      <c r="F109" s="14">
        <f>SUMIF('Data input'!D$3:D$202,B109,$Q$3:$Q$202)</f>
        <v>0</v>
      </c>
      <c r="G109" s="4">
        <f t="shared" si="32"/>
        <v>0</v>
      </c>
      <c r="H109" s="136">
        <v>53.6710606060606</v>
      </c>
      <c r="I109" s="136"/>
      <c r="J109" s="6">
        <f t="shared" si="33"/>
        <v>53.6710606060606</v>
      </c>
      <c r="K109" s="6">
        <f t="shared" si="22"/>
        <v>0</v>
      </c>
      <c r="L109" s="4">
        <f>SUMIF('Data input'!$D$3:$D$202,B109,$X$3:$X$202)</f>
        <v>0</v>
      </c>
      <c r="M109" s="4">
        <f>SUMIF('Data input'!$D$3:$D$202,B109,$AC$3:$AC$202)</f>
        <v>0</v>
      </c>
      <c r="N109" s="67">
        <f>SUMIF('Data input'!$D$3:$D$202,B109,$AD$3:$AD$202)</f>
        <v>0</v>
      </c>
      <c r="O109" s="30">
        <f>'Data input'!A109</f>
        <v>107</v>
      </c>
      <c r="P109" s="11">
        <f>'Data input'!G109*('Data input'!H109/1000)</f>
        <v>0</v>
      </c>
      <c r="Q109" s="11">
        <f>'Data input'!G109*('Data input'!H109/1000)*('Data input'!I109/1000)</f>
        <v>0</v>
      </c>
      <c r="R109" s="11">
        <f>'Data input'!G109*('Data input'!H109/1000)*('Data input'!I109/1000)*('Data input'!J109/1000)</f>
        <v>0</v>
      </c>
      <c r="S109" s="11" t="str">
        <f>IF(ISNA(VLOOKUP('Data input'!D109,$B$2:$C$200,2,FALSE)),"",VLOOKUP('Data input'!D109,$B$2:$C$200,2,FALSE))</f>
        <v/>
      </c>
      <c r="T109" s="11" t="str">
        <f>IF(S109="m3",Costs!R109,IF(S109="Each",'Data input'!G109,IF(S109="m",Costs!P109,IF(S109="m2",Costs!Q109,""))))</f>
        <v/>
      </c>
      <c r="U109" s="4" t="str">
        <f>IF(ISNA(VLOOKUP('Data input'!D109,$B$2:$J$200,9,FALSE)),"",VLOOKUP('Data input'!D109,$B$2:$J$200,9,FALSE))</f>
        <v/>
      </c>
      <c r="V109" s="4" t="e">
        <f t="shared" si="26"/>
        <v>#VALUE!</v>
      </c>
      <c r="W109">
        <f>'Data input'!M109</f>
        <v>0</v>
      </c>
      <c r="X109" s="4">
        <f t="shared" si="34"/>
        <v>0</v>
      </c>
      <c r="Y109" s="4" t="e">
        <f t="shared" si="27"/>
        <v>#VALUE!</v>
      </c>
      <c r="Z109" s="4" t="str">
        <f>IF(ISNA(VLOOKUP('Data input'!D109,$B$2:$E$200,4,FALSE)),"",VLOOKUP('Data input'!D109,$B$2:$E$200,4,FALSE))</f>
        <v/>
      </c>
      <c r="AA109" s="4" t="e">
        <f t="shared" si="35"/>
        <v>#VALUE!</v>
      </c>
      <c r="AB109">
        <f>'Data input'!N109</f>
        <v>0</v>
      </c>
      <c r="AC109">
        <f t="shared" si="28"/>
        <v>0</v>
      </c>
      <c r="AD109" s="4">
        <f t="shared" si="29"/>
        <v>0</v>
      </c>
      <c r="AE109" s="6">
        <f t="shared" si="30"/>
        <v>0</v>
      </c>
    </row>
    <row r="110" spans="1:31" x14ac:dyDescent="0.35">
      <c r="A110" t="str">
        <f>Lists!A$12</f>
        <v>Other_bituminous_mixtures</v>
      </c>
      <c r="B110" t="s">
        <v>429</v>
      </c>
      <c r="C110" s="8" t="s">
        <v>362</v>
      </c>
      <c r="E110" s="136">
        <v>8.8013636363636358</v>
      </c>
      <c r="F110" s="14">
        <f>SUMIF('Data input'!D$3:D$202,B110,$Q$3:$Q$202)</f>
        <v>0</v>
      </c>
      <c r="G110" s="4">
        <f t="shared" si="32"/>
        <v>0</v>
      </c>
      <c r="H110" s="136">
        <v>53.6710606060606</v>
      </c>
      <c r="I110" s="136"/>
      <c r="J110" s="6">
        <f t="shared" si="33"/>
        <v>53.6710606060606</v>
      </c>
      <c r="K110" s="6">
        <f t="shared" si="22"/>
        <v>0</v>
      </c>
      <c r="L110" s="4">
        <f>SUMIF('Data input'!$D$3:$D$202,B110,$X$3:$X$202)</f>
        <v>0</v>
      </c>
      <c r="M110" s="4">
        <f>SUMIF('Data input'!$D$3:$D$202,B110,$AC$3:$AC$202)</f>
        <v>0</v>
      </c>
      <c r="N110" s="67">
        <f>SUMIF('Data input'!$D$3:$D$202,B110,$AD$3:$AD$202)</f>
        <v>0</v>
      </c>
      <c r="O110" s="30">
        <f>'Data input'!A110</f>
        <v>108</v>
      </c>
      <c r="P110" s="11">
        <f>'Data input'!G110*('Data input'!H110/1000)</f>
        <v>0</v>
      </c>
      <c r="Q110" s="11">
        <f>'Data input'!G110*('Data input'!H110/1000)*('Data input'!I110/1000)</f>
        <v>0</v>
      </c>
      <c r="R110" s="11">
        <f>'Data input'!G110*('Data input'!H110/1000)*('Data input'!I110/1000)*('Data input'!J110/1000)</f>
        <v>0</v>
      </c>
      <c r="S110" s="11" t="str">
        <f>IF(ISNA(VLOOKUP('Data input'!D110,$B$2:$C$200,2,FALSE)),"",VLOOKUP('Data input'!D110,$B$2:$C$200,2,FALSE))</f>
        <v/>
      </c>
      <c r="T110" s="11" t="str">
        <f>IF(S110="m3",Costs!R110,IF(S110="Each",'Data input'!G110,IF(S110="m",Costs!P110,IF(S110="m2",Costs!Q110,""))))</f>
        <v/>
      </c>
      <c r="U110" s="4" t="str">
        <f>IF(ISNA(VLOOKUP('Data input'!D110,$B$2:$J$200,9,FALSE)),"",VLOOKUP('Data input'!D110,$B$2:$J$200,9,FALSE))</f>
        <v/>
      </c>
      <c r="V110" s="4" t="e">
        <f t="shared" si="26"/>
        <v>#VALUE!</v>
      </c>
      <c r="W110">
        <f>'Data input'!M110</f>
        <v>0</v>
      </c>
      <c r="X110" s="4">
        <f t="shared" si="34"/>
        <v>0</v>
      </c>
      <c r="Y110" s="4" t="e">
        <f t="shared" si="27"/>
        <v>#VALUE!</v>
      </c>
      <c r="Z110" s="4" t="str">
        <f>IF(ISNA(VLOOKUP('Data input'!D110,$B$2:$E$200,4,FALSE)),"",VLOOKUP('Data input'!D110,$B$2:$E$200,4,FALSE))</f>
        <v/>
      </c>
      <c r="AA110" s="4" t="e">
        <f t="shared" si="35"/>
        <v>#VALUE!</v>
      </c>
      <c r="AB110">
        <f>'Data input'!N110</f>
        <v>0</v>
      </c>
      <c r="AC110">
        <f t="shared" si="28"/>
        <v>0</v>
      </c>
      <c r="AD110" s="4">
        <f t="shared" si="29"/>
        <v>0</v>
      </c>
      <c r="AE110" s="6">
        <f t="shared" si="30"/>
        <v>0</v>
      </c>
    </row>
    <row r="111" spans="1:31" x14ac:dyDescent="0.35">
      <c r="A111" t="str">
        <f>Lists!A$13</f>
        <v>Coal_tar_and_tarred_products</v>
      </c>
      <c r="B111" t="s">
        <v>430</v>
      </c>
      <c r="C111" s="8" t="s">
        <v>362</v>
      </c>
      <c r="E111" s="136">
        <f>AVERAGE(E106:E110)</f>
        <v>27.854272727272729</v>
      </c>
      <c r="F111" s="14">
        <f>SUMIF('Data input'!D$3:D$202,B111,$Q$3:$Q$202)</f>
        <v>0</v>
      </c>
      <c r="G111" s="4">
        <f t="shared" si="32"/>
        <v>0</v>
      </c>
      <c r="H111" s="136">
        <f>AVERAGE(H106:H110)</f>
        <v>53.6710606060606</v>
      </c>
      <c r="I111" s="136"/>
      <c r="J111" s="6">
        <f t="shared" si="33"/>
        <v>53.6710606060606</v>
      </c>
      <c r="K111" s="6">
        <f t="shared" si="22"/>
        <v>0</v>
      </c>
      <c r="L111" s="4">
        <f>SUMIF('Data input'!$D$3:$D$202,B111,$X$3:$X$202)</f>
        <v>0</v>
      </c>
      <c r="M111" s="4">
        <f>SUMIF('Data input'!$D$3:$D$202,B111,$AC$3:$AC$202)</f>
        <v>0</v>
      </c>
      <c r="N111" s="67">
        <f>SUMIF('Data input'!$D$3:$D$202,B111,$AD$3:$AD$202)</f>
        <v>0</v>
      </c>
      <c r="O111" s="30">
        <f>'Data input'!A111</f>
        <v>109</v>
      </c>
      <c r="P111" s="11">
        <f>'Data input'!G111*('Data input'!H111/1000)</f>
        <v>0</v>
      </c>
      <c r="Q111" s="11">
        <f>'Data input'!G111*('Data input'!H111/1000)*('Data input'!I111/1000)</f>
        <v>0</v>
      </c>
      <c r="R111" s="11">
        <f>'Data input'!G111*('Data input'!H111/1000)*('Data input'!I111/1000)*('Data input'!J111/1000)</f>
        <v>0</v>
      </c>
      <c r="S111" s="11" t="str">
        <f>IF(ISNA(VLOOKUP('Data input'!D111,$B$2:$C$200,2,FALSE)),"",VLOOKUP('Data input'!D111,$B$2:$C$200,2,FALSE))</f>
        <v/>
      </c>
      <c r="T111" s="11" t="str">
        <f>IF(S111="m3",Costs!R111,IF(S111="Each",'Data input'!G111,IF(S111="m",Costs!P111,IF(S111="m2",Costs!Q111,""))))</f>
        <v/>
      </c>
      <c r="U111" s="4" t="str">
        <f>IF(ISNA(VLOOKUP('Data input'!D111,$B$2:$J$200,9,FALSE)),"",VLOOKUP('Data input'!D111,$B$2:$J$200,9,FALSE))</f>
        <v/>
      </c>
      <c r="V111" s="4" t="e">
        <f t="shared" si="26"/>
        <v>#VALUE!</v>
      </c>
      <c r="W111">
        <f>'Data input'!M111</f>
        <v>0</v>
      </c>
      <c r="X111" s="4">
        <f t="shared" si="34"/>
        <v>0</v>
      </c>
      <c r="Y111" s="4" t="e">
        <f t="shared" si="27"/>
        <v>#VALUE!</v>
      </c>
      <c r="Z111" s="4" t="str">
        <f>IF(ISNA(VLOOKUP('Data input'!D111,$B$2:$E$200,4,FALSE)),"",VLOOKUP('Data input'!D111,$B$2:$E$200,4,FALSE))</f>
        <v/>
      </c>
      <c r="AA111" s="4" t="e">
        <f t="shared" si="35"/>
        <v>#VALUE!</v>
      </c>
      <c r="AB111">
        <f>'Data input'!N111</f>
        <v>0</v>
      </c>
      <c r="AC111">
        <f t="shared" si="28"/>
        <v>0</v>
      </c>
      <c r="AD111" s="4">
        <f t="shared" si="29"/>
        <v>0</v>
      </c>
      <c r="AE111" s="6">
        <f t="shared" si="30"/>
        <v>0</v>
      </c>
    </row>
    <row r="112" spans="1:31" x14ac:dyDescent="0.35">
      <c r="A112" t="str">
        <f>Lists!A$14</f>
        <v>Copper_bronze_and_brass</v>
      </c>
      <c r="B112" t="s">
        <v>431</v>
      </c>
      <c r="C112" s="8" t="s">
        <v>372</v>
      </c>
      <c r="E112" s="136">
        <v>704.94</v>
      </c>
      <c r="F112" s="14">
        <f>SUMIF('Data input'!D$3:D$202,B112,$R$3:$R$202)</f>
        <v>0</v>
      </c>
      <c r="G112" s="4">
        <f t="shared" si="32"/>
        <v>0</v>
      </c>
      <c r="H112" s="136">
        <v>186.92</v>
      </c>
      <c r="I112" s="136"/>
      <c r="J112" s="6">
        <f t="shared" si="33"/>
        <v>186.92</v>
      </c>
      <c r="K112" s="6">
        <f t="shared" si="22"/>
        <v>0</v>
      </c>
      <c r="L112" s="4">
        <f>SUMIF('Data input'!$D$3:$D$202,B112,$X$3:$X$202)</f>
        <v>0</v>
      </c>
      <c r="M112" s="4">
        <f>SUMIF('Data input'!$D$3:$D$202,B112,$AC$3:$AC$202)</f>
        <v>0</v>
      </c>
      <c r="N112" s="67">
        <f>SUMIF('Data input'!$D$3:$D$202,B112,$AD$3:$AD$202)</f>
        <v>0</v>
      </c>
      <c r="O112" s="30">
        <f>'Data input'!A112</f>
        <v>110</v>
      </c>
      <c r="P112" s="11">
        <f>'Data input'!G112*('Data input'!H112/1000)</f>
        <v>0</v>
      </c>
      <c r="Q112" s="11">
        <f>'Data input'!G112*('Data input'!H112/1000)*('Data input'!I112/1000)</f>
        <v>0</v>
      </c>
      <c r="R112" s="11">
        <f>'Data input'!G112*('Data input'!H112/1000)*('Data input'!I112/1000)*('Data input'!J112/1000)</f>
        <v>0</v>
      </c>
      <c r="S112" s="11" t="str">
        <f>IF(ISNA(VLOOKUP('Data input'!D112,$B$2:$C$200,2,FALSE)),"",VLOOKUP('Data input'!D112,$B$2:$C$200,2,FALSE))</f>
        <v/>
      </c>
      <c r="T112" s="11" t="str">
        <f>IF(S112="m3",Costs!R112,IF(S112="Each",'Data input'!G112,IF(S112="m",Costs!P112,IF(S112="m2",Costs!Q112,""))))</f>
        <v/>
      </c>
      <c r="U112" s="4" t="str">
        <f>IF(ISNA(VLOOKUP('Data input'!D112,$B$2:$J$200,9,FALSE)),"",VLOOKUP('Data input'!D112,$B$2:$J$200,9,FALSE))</f>
        <v/>
      </c>
      <c r="V112" s="4" t="e">
        <f t="shared" si="26"/>
        <v>#VALUE!</v>
      </c>
      <c r="W112">
        <f>'Data input'!M112</f>
        <v>0</v>
      </c>
      <c r="X112" s="4">
        <f t="shared" si="34"/>
        <v>0</v>
      </c>
      <c r="Y112" s="4" t="e">
        <f t="shared" si="27"/>
        <v>#VALUE!</v>
      </c>
      <c r="Z112" s="4" t="str">
        <f>IF(ISNA(VLOOKUP('Data input'!D112,$B$2:$E$200,4,FALSE)),"",VLOOKUP('Data input'!D112,$B$2:$E$200,4,FALSE))</f>
        <v/>
      </c>
      <c r="AA112" s="4" t="e">
        <f t="shared" si="35"/>
        <v>#VALUE!</v>
      </c>
      <c r="AB112">
        <f>'Data input'!N112</f>
        <v>0</v>
      </c>
      <c r="AC112">
        <f t="shared" si="28"/>
        <v>0</v>
      </c>
      <c r="AD112" s="4">
        <f t="shared" si="29"/>
        <v>0</v>
      </c>
      <c r="AE112" s="6">
        <f t="shared" si="30"/>
        <v>0</v>
      </c>
    </row>
    <row r="113" spans="1:31" x14ac:dyDescent="0.35">
      <c r="A113" t="str">
        <f>Lists!A$15</f>
        <v>Aluminium</v>
      </c>
      <c r="B113" t="s">
        <v>432</v>
      </c>
      <c r="C113" s="8" t="s">
        <v>362</v>
      </c>
      <c r="E113" s="136">
        <v>22.130303030303029</v>
      </c>
      <c r="F113" s="14">
        <f>SUMIF('Data input'!D$3:D$202,B113,$Q$3:$Q$202)</f>
        <v>0</v>
      </c>
      <c r="G113" s="4">
        <f t="shared" si="32"/>
        <v>0</v>
      </c>
      <c r="H113" s="136">
        <v>52.239696969696972</v>
      </c>
      <c r="I113" s="136"/>
      <c r="J113" s="6">
        <f t="shared" si="33"/>
        <v>52.239696969696972</v>
      </c>
      <c r="K113" s="6">
        <f t="shared" si="22"/>
        <v>0</v>
      </c>
      <c r="L113" s="4">
        <f>SUMIF('Data input'!$D$3:$D$202,B113,$X$3:$X$202)</f>
        <v>0</v>
      </c>
      <c r="M113" s="4">
        <f>SUMIF('Data input'!$D$3:$D$202,B113,$AC$3:$AC$202)</f>
        <v>0</v>
      </c>
      <c r="N113" s="67">
        <f>SUMIF('Data input'!$D$3:$D$202,B113,$AD$3:$AD$202)</f>
        <v>0</v>
      </c>
      <c r="O113" s="30">
        <f>'Data input'!A113</f>
        <v>111</v>
      </c>
      <c r="P113" s="11">
        <f>'Data input'!G113*('Data input'!H113/1000)</f>
        <v>0</v>
      </c>
      <c r="Q113" s="11">
        <f>'Data input'!G113*('Data input'!H113/1000)*('Data input'!I113/1000)</f>
        <v>0</v>
      </c>
      <c r="R113" s="11">
        <f>'Data input'!G113*('Data input'!H113/1000)*('Data input'!I113/1000)*('Data input'!J113/1000)</f>
        <v>0</v>
      </c>
      <c r="S113" s="11" t="str">
        <f>IF(ISNA(VLOOKUP('Data input'!D113,$B$2:$C$200,2,FALSE)),"",VLOOKUP('Data input'!D113,$B$2:$C$200,2,FALSE))</f>
        <v/>
      </c>
      <c r="T113" s="11" t="str">
        <f>IF(S113="m3",Costs!R113,IF(S113="Each",'Data input'!G113,IF(S113="m",Costs!P113,IF(S113="m2",Costs!Q113,""))))</f>
        <v/>
      </c>
      <c r="U113" s="4" t="str">
        <f>IF(ISNA(VLOOKUP('Data input'!D113,$B$2:$J$200,9,FALSE)),"",VLOOKUP('Data input'!D113,$B$2:$J$200,9,FALSE))</f>
        <v/>
      </c>
      <c r="V113" s="4" t="e">
        <f t="shared" si="26"/>
        <v>#VALUE!</v>
      </c>
      <c r="W113">
        <f>'Data input'!M113</f>
        <v>0</v>
      </c>
      <c r="X113" s="4">
        <f t="shared" si="34"/>
        <v>0</v>
      </c>
      <c r="Y113" s="4" t="e">
        <f t="shared" si="27"/>
        <v>#VALUE!</v>
      </c>
      <c r="Z113" s="4" t="str">
        <f>IF(ISNA(VLOOKUP('Data input'!D113,$B$2:$E$200,4,FALSE)),"",VLOOKUP('Data input'!D113,$B$2:$E$200,4,FALSE))</f>
        <v/>
      </c>
      <c r="AA113" s="4" t="e">
        <f t="shared" si="35"/>
        <v>#VALUE!</v>
      </c>
      <c r="AB113">
        <f>'Data input'!N113</f>
        <v>0</v>
      </c>
      <c r="AC113">
        <f t="shared" si="28"/>
        <v>0</v>
      </c>
      <c r="AD113" s="4">
        <f t="shared" si="29"/>
        <v>0</v>
      </c>
      <c r="AE113" s="6">
        <f t="shared" si="30"/>
        <v>0</v>
      </c>
    </row>
    <row r="114" spans="1:31" x14ac:dyDescent="0.35">
      <c r="A114" t="str">
        <f>Lists!A$16</f>
        <v>Lead</v>
      </c>
      <c r="B114" t="s">
        <v>433</v>
      </c>
      <c r="C114" s="8" t="s">
        <v>372</v>
      </c>
      <c r="E114" s="136">
        <v>610</v>
      </c>
      <c r="F114" s="14">
        <f>SUMIF('Data input'!D$3:D$202,B114,$R$3:$R$202)</f>
        <v>0</v>
      </c>
      <c r="G114" s="4">
        <f t="shared" si="32"/>
        <v>0</v>
      </c>
      <c r="H114" s="136">
        <v>493</v>
      </c>
      <c r="I114" s="136"/>
      <c r="J114" s="6">
        <f t="shared" si="33"/>
        <v>493</v>
      </c>
      <c r="K114" s="6">
        <f t="shared" si="22"/>
        <v>0</v>
      </c>
      <c r="L114" s="4">
        <f>SUMIF('Data input'!$D$3:$D$202,B114,$X$3:$X$202)</f>
        <v>0</v>
      </c>
      <c r="M114" s="4">
        <f>SUMIF('Data input'!$D$3:$D$202,B114,$AC$3:$AC$202)</f>
        <v>0</v>
      </c>
      <c r="N114" s="67">
        <f>SUMIF('Data input'!$D$3:$D$202,B114,$AD$3:$AD$202)</f>
        <v>0</v>
      </c>
      <c r="O114" s="30">
        <f>'Data input'!A114</f>
        <v>112</v>
      </c>
      <c r="P114" s="11">
        <f>'Data input'!G114*('Data input'!H114/1000)</f>
        <v>0</v>
      </c>
      <c r="Q114" s="11">
        <f>'Data input'!G114*('Data input'!H114/1000)*('Data input'!I114/1000)</f>
        <v>0</v>
      </c>
      <c r="R114" s="11">
        <f>'Data input'!G114*('Data input'!H114/1000)*('Data input'!I114/1000)*('Data input'!J114/1000)</f>
        <v>0</v>
      </c>
      <c r="S114" s="11" t="str">
        <f>IF(ISNA(VLOOKUP('Data input'!D114,$B$2:$C$200,2,FALSE)),"",VLOOKUP('Data input'!D114,$B$2:$C$200,2,FALSE))</f>
        <v/>
      </c>
      <c r="T114" s="11" t="str">
        <f>IF(S114="m3",Costs!R114,IF(S114="Each",'Data input'!G114,IF(S114="m",Costs!P114,IF(S114="m2",Costs!Q114,""))))</f>
        <v/>
      </c>
      <c r="U114" s="4" t="str">
        <f>IF(ISNA(VLOOKUP('Data input'!D114,$B$2:$J$200,9,FALSE)),"",VLOOKUP('Data input'!D114,$B$2:$J$200,9,FALSE))</f>
        <v/>
      </c>
      <c r="V114" s="4" t="e">
        <f t="shared" si="26"/>
        <v>#VALUE!</v>
      </c>
      <c r="W114">
        <f>'Data input'!M114</f>
        <v>0</v>
      </c>
      <c r="X114" s="4">
        <f t="shared" si="34"/>
        <v>0</v>
      </c>
      <c r="Y114" s="4" t="e">
        <f t="shared" si="27"/>
        <v>#VALUE!</v>
      </c>
      <c r="Z114" s="4" t="str">
        <f>IF(ISNA(VLOOKUP('Data input'!D114,$B$2:$E$200,4,FALSE)),"",VLOOKUP('Data input'!D114,$B$2:$E$200,4,FALSE))</f>
        <v/>
      </c>
      <c r="AA114" s="4" t="e">
        <f t="shared" si="35"/>
        <v>#VALUE!</v>
      </c>
      <c r="AB114">
        <f>'Data input'!N114</f>
        <v>0</v>
      </c>
      <c r="AC114">
        <f t="shared" si="28"/>
        <v>0</v>
      </c>
      <c r="AD114" s="4">
        <f t="shared" si="29"/>
        <v>0</v>
      </c>
      <c r="AE114" s="6">
        <f t="shared" si="30"/>
        <v>0</v>
      </c>
    </row>
    <row r="115" spans="1:31" x14ac:dyDescent="0.35">
      <c r="A115" t="str">
        <f>Lists!A$17</f>
        <v>Iron_and_steel</v>
      </c>
      <c r="B115" t="s">
        <v>434</v>
      </c>
      <c r="C115" s="8" t="s">
        <v>372</v>
      </c>
      <c r="E115" s="136">
        <f>AVERAGE(E116:E117)</f>
        <v>7049.4686363636365</v>
      </c>
      <c r="F115" s="14">
        <f>SUMIF('Data input'!D$3:D$202,B115,$R$3:$R$202)</f>
        <v>0</v>
      </c>
      <c r="G115" s="4">
        <f t="shared" si="32"/>
        <v>0</v>
      </c>
      <c r="H115" s="136">
        <f>AVERAGE(H116:H117)</f>
        <v>934.99568181818188</v>
      </c>
      <c r="I115" s="136"/>
      <c r="J115" s="6">
        <f t="shared" si="33"/>
        <v>934.99568181818188</v>
      </c>
      <c r="K115" s="6">
        <f t="shared" si="22"/>
        <v>0</v>
      </c>
      <c r="L115" s="4">
        <f>SUMIF('Data input'!$D$3:$D$202,B115,$X$3:$X$202)</f>
        <v>0</v>
      </c>
      <c r="M115" s="4">
        <f>SUMIF('Data input'!$D$3:$D$202,B115,$AC$3:$AC$202)</f>
        <v>0</v>
      </c>
      <c r="N115" s="67">
        <f>SUMIF('Data input'!$D$3:$D$202,B115,$AD$3:$AD$202)</f>
        <v>0</v>
      </c>
      <c r="O115" s="30">
        <f>'Data input'!A115</f>
        <v>113</v>
      </c>
      <c r="P115" s="11">
        <f>'Data input'!G115*('Data input'!H115/1000)</f>
        <v>0</v>
      </c>
      <c r="Q115" s="11">
        <f>'Data input'!G115*('Data input'!H115/1000)*('Data input'!I115/1000)</f>
        <v>0</v>
      </c>
      <c r="R115" s="11">
        <f>'Data input'!G115*('Data input'!H115/1000)*('Data input'!I115/1000)*('Data input'!J115/1000)</f>
        <v>0</v>
      </c>
      <c r="S115" s="11" t="str">
        <f>IF(ISNA(VLOOKUP('Data input'!D115,$B$2:$C$200,2,FALSE)),"",VLOOKUP('Data input'!D115,$B$2:$C$200,2,FALSE))</f>
        <v/>
      </c>
      <c r="T115" s="11" t="str">
        <f>IF(S115="m3",Costs!R115,IF(S115="Each",'Data input'!G115,IF(S115="m",Costs!P115,IF(S115="m2",Costs!Q115,""))))</f>
        <v/>
      </c>
      <c r="U115" s="4" t="str">
        <f>IF(ISNA(VLOOKUP('Data input'!D115,$B$2:$J$200,9,FALSE)),"",VLOOKUP('Data input'!D115,$B$2:$J$200,9,FALSE))</f>
        <v/>
      </c>
      <c r="V115" s="4" t="e">
        <f t="shared" si="26"/>
        <v>#VALUE!</v>
      </c>
      <c r="W115">
        <f>'Data input'!M115</f>
        <v>0</v>
      </c>
      <c r="X115" s="4">
        <f t="shared" si="34"/>
        <v>0</v>
      </c>
      <c r="Y115" s="4" t="e">
        <f t="shared" si="27"/>
        <v>#VALUE!</v>
      </c>
      <c r="Z115" s="4" t="str">
        <f>IF(ISNA(VLOOKUP('Data input'!D115,$B$2:$E$200,4,FALSE)),"",VLOOKUP('Data input'!D115,$B$2:$E$200,4,FALSE))</f>
        <v/>
      </c>
      <c r="AA115" s="4" t="e">
        <f t="shared" si="35"/>
        <v>#VALUE!</v>
      </c>
      <c r="AB115">
        <f>'Data input'!N115</f>
        <v>0</v>
      </c>
      <c r="AC115">
        <f t="shared" si="28"/>
        <v>0</v>
      </c>
      <c r="AD115" s="4">
        <f t="shared" si="29"/>
        <v>0</v>
      </c>
      <c r="AE115" s="6">
        <f t="shared" si="30"/>
        <v>0</v>
      </c>
    </row>
    <row r="116" spans="1:31" x14ac:dyDescent="0.35">
      <c r="A116" t="str">
        <f>Lists!A$17</f>
        <v>Iron_and_steel</v>
      </c>
      <c r="B116" t="s">
        <v>435</v>
      </c>
      <c r="C116" s="8" t="s">
        <v>372</v>
      </c>
      <c r="E116" s="136">
        <v>14091.08</v>
      </c>
      <c r="F116" s="14">
        <f>SUMIF('Data input'!D$3:D$202,B116,$R$3:$R$202)</f>
        <v>0</v>
      </c>
      <c r="G116" s="4">
        <f t="shared" si="32"/>
        <v>0</v>
      </c>
      <c r="H116" s="136">
        <v>1869.23</v>
      </c>
      <c r="I116" s="136"/>
      <c r="J116" s="6">
        <f t="shared" si="33"/>
        <v>1869.23</v>
      </c>
      <c r="K116" s="6">
        <f t="shared" si="22"/>
        <v>0</v>
      </c>
      <c r="L116" s="4">
        <f>SUMIF('Data input'!$D$3:$D$202,B116,$X$3:$X$202)</f>
        <v>0</v>
      </c>
      <c r="M116" s="4">
        <f>SUMIF('Data input'!$D$3:$D$202,B116,$AC$3:$AC$202)</f>
        <v>0</v>
      </c>
      <c r="N116" s="67">
        <f>SUMIF('Data input'!$D$3:$D$202,B116,$AD$3:$AD$202)</f>
        <v>0</v>
      </c>
      <c r="O116" s="30">
        <f>'Data input'!A116</f>
        <v>114</v>
      </c>
      <c r="P116" s="11">
        <f>'Data input'!G116*('Data input'!H116/1000)</f>
        <v>0</v>
      </c>
      <c r="Q116" s="11">
        <f>'Data input'!G116*('Data input'!H116/1000)*('Data input'!I116/1000)</f>
        <v>0</v>
      </c>
      <c r="R116" s="11">
        <f>'Data input'!G116*('Data input'!H116/1000)*('Data input'!I116/1000)*('Data input'!J116/1000)</f>
        <v>0</v>
      </c>
      <c r="S116" s="11" t="str">
        <f>IF(ISNA(VLOOKUP('Data input'!D116,$B$2:$C$200,2,FALSE)),"",VLOOKUP('Data input'!D116,$B$2:$C$200,2,FALSE))</f>
        <v/>
      </c>
      <c r="T116" s="11" t="str">
        <f>IF(S116="m3",Costs!R116,IF(S116="Each",'Data input'!G116,IF(S116="m",Costs!P116,IF(S116="m2",Costs!Q116,""))))</f>
        <v/>
      </c>
      <c r="U116" s="4" t="str">
        <f>IF(ISNA(VLOOKUP('Data input'!D116,$B$2:$J$200,9,FALSE)),"",VLOOKUP('Data input'!D116,$B$2:$J$200,9,FALSE))</f>
        <v/>
      </c>
      <c r="V116" s="4" t="e">
        <f t="shared" si="26"/>
        <v>#VALUE!</v>
      </c>
      <c r="W116">
        <f>'Data input'!M116</f>
        <v>0</v>
      </c>
      <c r="X116" s="4">
        <f t="shared" si="34"/>
        <v>0</v>
      </c>
      <c r="Y116" s="4" t="e">
        <f t="shared" si="27"/>
        <v>#VALUE!</v>
      </c>
      <c r="Z116" s="4" t="str">
        <f>IF(ISNA(VLOOKUP('Data input'!D116,$B$2:$E$200,4,FALSE)),"",VLOOKUP('Data input'!D116,$B$2:$E$200,4,FALSE))</f>
        <v/>
      </c>
      <c r="AA116" s="4" t="e">
        <f t="shared" si="35"/>
        <v>#VALUE!</v>
      </c>
      <c r="AB116">
        <f>'Data input'!N116</f>
        <v>0</v>
      </c>
      <c r="AC116">
        <f t="shared" si="28"/>
        <v>0</v>
      </c>
      <c r="AD116" s="4">
        <f t="shared" si="29"/>
        <v>0</v>
      </c>
      <c r="AE116" s="6">
        <f t="shared" si="30"/>
        <v>0</v>
      </c>
    </row>
    <row r="117" spans="1:31" x14ac:dyDescent="0.35">
      <c r="A117" t="str">
        <f>Lists!A$17</f>
        <v>Iron_and_steel</v>
      </c>
      <c r="B117" t="s">
        <v>436</v>
      </c>
      <c r="C117" s="8" t="s">
        <v>352</v>
      </c>
      <c r="E117" s="136">
        <v>7.8572727272727274</v>
      </c>
      <c r="F117" s="14">
        <f>SUMIF('Data input'!D$3:D$202,B117,$P$3:$P$202)</f>
        <v>0</v>
      </c>
      <c r="G117" s="4">
        <f t="shared" si="32"/>
        <v>0</v>
      </c>
      <c r="H117" s="136">
        <v>0.76136363636363635</v>
      </c>
      <c r="I117" s="136"/>
      <c r="J117" s="6">
        <f t="shared" si="33"/>
        <v>0.76136363636363635</v>
      </c>
      <c r="K117" s="6">
        <f t="shared" si="22"/>
        <v>0</v>
      </c>
      <c r="L117" s="4">
        <f>SUMIF('Data input'!$D$3:$D$202,B117,$X$3:$X$202)</f>
        <v>0</v>
      </c>
      <c r="M117" s="4">
        <f>SUMIF('Data input'!$D$3:$D$202,B117,$AC$3:$AC$202)</f>
        <v>0</v>
      </c>
      <c r="N117" s="67">
        <f>SUMIF('Data input'!$D$3:$D$202,B117,$AD$3:$AD$202)</f>
        <v>0</v>
      </c>
      <c r="O117" s="30">
        <f>'Data input'!A117</f>
        <v>115</v>
      </c>
      <c r="P117" s="11">
        <f>'Data input'!G117*('Data input'!H117/1000)</f>
        <v>0</v>
      </c>
      <c r="Q117" s="11">
        <f>'Data input'!G117*('Data input'!H117/1000)*('Data input'!I117/1000)</f>
        <v>0</v>
      </c>
      <c r="R117" s="11">
        <f>'Data input'!G117*('Data input'!H117/1000)*('Data input'!I117/1000)*('Data input'!J117/1000)</f>
        <v>0</v>
      </c>
      <c r="S117" s="11" t="str">
        <f>IF(ISNA(VLOOKUP('Data input'!D117,$B$2:$C$200,2,FALSE)),"",VLOOKUP('Data input'!D117,$B$2:$C$200,2,FALSE))</f>
        <v/>
      </c>
      <c r="T117" s="11" t="str">
        <f>IF(S117="m3",Costs!R117,IF(S117="Each",'Data input'!G117,IF(S117="m",Costs!P117,IF(S117="m2",Costs!Q117,""))))</f>
        <v/>
      </c>
      <c r="U117" s="4" t="str">
        <f>IF(ISNA(VLOOKUP('Data input'!D117,$B$2:$J$200,9,FALSE)),"",VLOOKUP('Data input'!D117,$B$2:$J$200,9,FALSE))</f>
        <v/>
      </c>
      <c r="V117" s="4" t="e">
        <f t="shared" si="26"/>
        <v>#VALUE!</v>
      </c>
      <c r="W117">
        <f>'Data input'!M117</f>
        <v>0</v>
      </c>
      <c r="X117" s="4">
        <f t="shared" si="34"/>
        <v>0</v>
      </c>
      <c r="Y117" s="4" t="e">
        <f t="shared" si="27"/>
        <v>#VALUE!</v>
      </c>
      <c r="Z117" s="4" t="str">
        <f>IF(ISNA(VLOOKUP('Data input'!D117,$B$2:$E$200,4,FALSE)),"",VLOOKUP('Data input'!D117,$B$2:$E$200,4,FALSE))</f>
        <v/>
      </c>
      <c r="AA117" s="4" t="e">
        <f t="shared" si="35"/>
        <v>#VALUE!</v>
      </c>
      <c r="AB117">
        <f>'Data input'!N117</f>
        <v>0</v>
      </c>
      <c r="AC117">
        <f t="shared" si="28"/>
        <v>0</v>
      </c>
      <c r="AD117" s="4">
        <f t="shared" si="29"/>
        <v>0</v>
      </c>
      <c r="AE117" s="6">
        <f t="shared" si="30"/>
        <v>0</v>
      </c>
    </row>
    <row r="118" spans="1:31" x14ac:dyDescent="0.35">
      <c r="A118" t="str">
        <f>Lists!A$18</f>
        <v>Tin</v>
      </c>
      <c r="B118" t="s">
        <v>219</v>
      </c>
      <c r="C118" s="10" t="s">
        <v>362</v>
      </c>
      <c r="E118" s="136">
        <v>70.489999999999995</v>
      </c>
      <c r="F118" s="14">
        <f>SUMIF('Data input'!D$3:D$202,B118,$Q$3:$Q$202)</f>
        <v>0</v>
      </c>
      <c r="G118" s="4">
        <f t="shared" si="32"/>
        <v>0</v>
      </c>
      <c r="H118" s="136">
        <v>18.690000000000001</v>
      </c>
      <c r="I118" s="136"/>
      <c r="J118" s="6">
        <f t="shared" si="33"/>
        <v>18.690000000000001</v>
      </c>
      <c r="K118" s="6">
        <f t="shared" si="22"/>
        <v>0</v>
      </c>
      <c r="L118" s="4">
        <f>SUMIF('Data input'!$D$3:$D$202,B118,$X$3:$X$202)</f>
        <v>0</v>
      </c>
      <c r="M118" s="4">
        <f>SUMIF('Data input'!$D$3:$D$202,B118,$AC$3:$AC$202)</f>
        <v>0</v>
      </c>
      <c r="N118" s="67">
        <f>SUMIF('Data input'!$D$3:$D$202,B118,$AD$3:$AD$202)</f>
        <v>0</v>
      </c>
      <c r="O118" s="30">
        <f>'Data input'!A118</f>
        <v>116</v>
      </c>
      <c r="P118" s="11">
        <f>'Data input'!G118*('Data input'!H118/1000)</f>
        <v>0</v>
      </c>
      <c r="Q118" s="11">
        <f>'Data input'!G118*('Data input'!H118/1000)*('Data input'!I118/1000)</f>
        <v>0</v>
      </c>
      <c r="R118" s="11">
        <f>'Data input'!G118*('Data input'!H118/1000)*('Data input'!I118/1000)*('Data input'!J118/1000)</f>
        <v>0</v>
      </c>
      <c r="S118" s="11" t="str">
        <f>IF(ISNA(VLOOKUP('Data input'!D118,$B$2:$C$200,2,FALSE)),"",VLOOKUP('Data input'!D118,$B$2:$C$200,2,FALSE))</f>
        <v/>
      </c>
      <c r="T118" s="11" t="str">
        <f>IF(S118="m3",Costs!R118,IF(S118="Each",'Data input'!G118,IF(S118="m",Costs!P118,IF(S118="m2",Costs!Q118,""))))</f>
        <v/>
      </c>
      <c r="U118" s="4" t="str">
        <f>IF(ISNA(VLOOKUP('Data input'!D118,$B$2:$J$200,9,FALSE)),"",VLOOKUP('Data input'!D118,$B$2:$J$200,9,FALSE))</f>
        <v/>
      </c>
      <c r="V118" s="4" t="e">
        <f t="shared" si="26"/>
        <v>#VALUE!</v>
      </c>
      <c r="W118">
        <f>'Data input'!M118</f>
        <v>0</v>
      </c>
      <c r="X118" s="4">
        <f t="shared" si="34"/>
        <v>0</v>
      </c>
      <c r="Y118" s="4" t="e">
        <f t="shared" si="27"/>
        <v>#VALUE!</v>
      </c>
      <c r="Z118" s="4" t="str">
        <f>IF(ISNA(VLOOKUP('Data input'!D118,$B$2:$E$200,4,FALSE)),"",VLOOKUP('Data input'!D118,$B$2:$E$200,4,FALSE))</f>
        <v/>
      </c>
      <c r="AA118" s="4" t="e">
        <f t="shared" si="35"/>
        <v>#VALUE!</v>
      </c>
      <c r="AB118">
        <f>'Data input'!N118</f>
        <v>0</v>
      </c>
      <c r="AC118">
        <f t="shared" si="28"/>
        <v>0</v>
      </c>
      <c r="AD118" s="4">
        <f t="shared" si="29"/>
        <v>0</v>
      </c>
      <c r="AE118" s="6">
        <f t="shared" si="30"/>
        <v>0</v>
      </c>
    </row>
    <row r="119" spans="1:31" x14ac:dyDescent="0.35">
      <c r="A119" t="str">
        <f>Lists!A$19</f>
        <v>Mixed_metals</v>
      </c>
      <c r="B119" t="s">
        <v>437</v>
      </c>
      <c r="C119" s="8" t="s">
        <v>372</v>
      </c>
      <c r="E119" s="136">
        <v>704.94</v>
      </c>
      <c r="F119" s="14">
        <f>SUMIF('Data input'!D$3:D$202,B119,$R$3:$R$202)</f>
        <v>0</v>
      </c>
      <c r="G119" s="4">
        <f t="shared" ref="G119" si="36">E119*F119</f>
        <v>0</v>
      </c>
      <c r="H119" s="136">
        <v>186.92</v>
      </c>
      <c r="I119" s="136"/>
      <c r="J119" s="6">
        <f t="shared" si="33"/>
        <v>186.92</v>
      </c>
      <c r="K119" s="6">
        <f t="shared" si="22"/>
        <v>0</v>
      </c>
      <c r="L119" s="4">
        <f>SUMIF('Data input'!$D$3:$D$202,B119,$X$3:$X$202)</f>
        <v>0</v>
      </c>
      <c r="M119" s="4">
        <f>SUMIF('Data input'!$D$3:$D$202,B119,$AC$3:$AC$202)</f>
        <v>0</v>
      </c>
      <c r="N119" s="67">
        <f>SUMIF('Data input'!$D$3:$D$202,B119,$AD$3:$AD$202)</f>
        <v>0</v>
      </c>
      <c r="O119" s="30">
        <f>'Data input'!A119</f>
        <v>117</v>
      </c>
      <c r="P119" s="11">
        <f>'Data input'!G119*('Data input'!H119/1000)</f>
        <v>0</v>
      </c>
      <c r="Q119" s="11">
        <f>'Data input'!G119*('Data input'!H119/1000)*('Data input'!I119/1000)</f>
        <v>0</v>
      </c>
      <c r="R119" s="11">
        <f>'Data input'!G119*('Data input'!H119/1000)*('Data input'!I119/1000)*('Data input'!J119/1000)</f>
        <v>0</v>
      </c>
      <c r="S119" s="11" t="str">
        <f>IF(ISNA(VLOOKUP('Data input'!D119,$B$2:$C$200,2,FALSE)),"",VLOOKUP('Data input'!D119,$B$2:$C$200,2,FALSE))</f>
        <v/>
      </c>
      <c r="T119" s="11" t="str">
        <f>IF(S119="m3",Costs!R119,IF(S119="Each",'Data input'!G119,IF(S119="m",Costs!P119,IF(S119="m2",Costs!Q119,""))))</f>
        <v/>
      </c>
      <c r="U119" s="4" t="str">
        <f>IF(ISNA(VLOOKUP('Data input'!D119,$B$2:$J$200,9,FALSE)),"",VLOOKUP('Data input'!D119,$B$2:$J$200,9,FALSE))</f>
        <v/>
      </c>
      <c r="V119" s="4" t="e">
        <f t="shared" si="26"/>
        <v>#VALUE!</v>
      </c>
      <c r="W119">
        <f>'Data input'!M119</f>
        <v>0</v>
      </c>
      <c r="X119" s="4">
        <f t="shared" si="34"/>
        <v>0</v>
      </c>
      <c r="Y119" s="4" t="e">
        <f t="shared" si="27"/>
        <v>#VALUE!</v>
      </c>
      <c r="Z119" s="4" t="str">
        <f>IF(ISNA(VLOOKUP('Data input'!D119,$B$2:$E$200,4,FALSE)),"",VLOOKUP('Data input'!D119,$B$2:$E$200,4,FALSE))</f>
        <v/>
      </c>
      <c r="AA119" s="4" t="e">
        <f t="shared" si="35"/>
        <v>#VALUE!</v>
      </c>
      <c r="AB119">
        <f>'Data input'!N119</f>
        <v>0</v>
      </c>
      <c r="AC119">
        <f t="shared" si="28"/>
        <v>0</v>
      </c>
      <c r="AD119" s="4">
        <f t="shared" si="29"/>
        <v>0</v>
      </c>
      <c r="AE119" s="6">
        <f t="shared" si="30"/>
        <v>0</v>
      </c>
    </row>
    <row r="120" spans="1:31" x14ac:dyDescent="0.35">
      <c r="A120" t="str">
        <f>Lists!A$20</f>
        <v>Cables</v>
      </c>
      <c r="B120" t="s">
        <v>230</v>
      </c>
      <c r="C120" s="8" t="s">
        <v>352</v>
      </c>
      <c r="E120" s="136">
        <v>65.203181818181818</v>
      </c>
      <c r="F120" s="14">
        <f>SUMIF('Data input'!D$3:D$202,B120,$P$3:$P$202)</f>
        <v>0</v>
      </c>
      <c r="G120" s="4">
        <f t="shared" ref="G120" si="37">E120*F120</f>
        <v>0</v>
      </c>
      <c r="H120" s="136">
        <v>41.418181818181814</v>
      </c>
      <c r="I120" s="136">
        <v>10</v>
      </c>
      <c r="J120" s="6">
        <f t="shared" si="33"/>
        <v>51.418181818181814</v>
      </c>
      <c r="K120" s="6">
        <f t="shared" si="22"/>
        <v>0</v>
      </c>
      <c r="L120" s="4">
        <f>SUMIF('Data input'!$D$3:$D$202,B120,$X$3:$X$202)</f>
        <v>0</v>
      </c>
      <c r="M120" s="4">
        <f>SUMIF('Data input'!$D$3:$D$202,B120,$AC$3:$AC$202)</f>
        <v>0</v>
      </c>
      <c r="N120" s="67">
        <f>SUMIF('Data input'!$D$3:$D$202,B120,$AD$3:$AD$202)</f>
        <v>0</v>
      </c>
      <c r="O120" s="30">
        <f>'Data input'!A120</f>
        <v>118</v>
      </c>
      <c r="P120" s="11">
        <f>'Data input'!G120*('Data input'!H120/1000)</f>
        <v>0</v>
      </c>
      <c r="Q120" s="11">
        <f>'Data input'!G120*('Data input'!H120/1000)*('Data input'!I120/1000)</f>
        <v>0</v>
      </c>
      <c r="R120" s="11">
        <f>'Data input'!G120*('Data input'!H120/1000)*('Data input'!I120/1000)*('Data input'!J120/1000)</f>
        <v>0</v>
      </c>
      <c r="S120" s="11" t="str">
        <f>IF(ISNA(VLOOKUP('Data input'!D120,$B$2:$C$200,2,FALSE)),"",VLOOKUP('Data input'!D120,$B$2:$C$200,2,FALSE))</f>
        <v/>
      </c>
      <c r="T120" s="11" t="str">
        <f>IF(S120="m3",Costs!R120,IF(S120="Each",'Data input'!G120,IF(S120="m",Costs!P120,IF(S120="m2",Costs!Q120,""))))</f>
        <v/>
      </c>
      <c r="U120" s="4" t="str">
        <f>IF(ISNA(VLOOKUP('Data input'!D120,$B$2:$J$200,9,FALSE)),"",VLOOKUP('Data input'!D120,$B$2:$J$200,9,FALSE))</f>
        <v/>
      </c>
      <c r="V120" s="4" t="e">
        <f t="shared" si="26"/>
        <v>#VALUE!</v>
      </c>
      <c r="W120">
        <f>'Data input'!M120</f>
        <v>0</v>
      </c>
      <c r="X120" s="4">
        <f t="shared" si="34"/>
        <v>0</v>
      </c>
      <c r="Y120" s="4" t="e">
        <f t="shared" si="27"/>
        <v>#VALUE!</v>
      </c>
      <c r="Z120" s="4" t="str">
        <f>IF(ISNA(VLOOKUP('Data input'!D120,$B$2:$E$200,4,FALSE)),"",VLOOKUP('Data input'!D120,$B$2:$E$200,4,FALSE))</f>
        <v/>
      </c>
      <c r="AA120" s="4" t="e">
        <f t="shared" si="35"/>
        <v>#VALUE!</v>
      </c>
      <c r="AB120">
        <f>'Data input'!N120</f>
        <v>0</v>
      </c>
      <c r="AC120">
        <f t="shared" si="28"/>
        <v>0</v>
      </c>
      <c r="AD120" s="4">
        <f t="shared" si="29"/>
        <v>0</v>
      </c>
      <c r="AE120" s="6">
        <f t="shared" si="30"/>
        <v>0</v>
      </c>
    </row>
    <row r="121" spans="1:31" x14ac:dyDescent="0.35">
      <c r="A121" t="str">
        <f>Lists!A$21</f>
        <v>Inert_soil_and_stones</v>
      </c>
      <c r="B121" t="s">
        <v>438</v>
      </c>
      <c r="C121" s="8" t="s">
        <v>439</v>
      </c>
      <c r="E121" s="138"/>
      <c r="F121" s="14"/>
      <c r="H121" s="138"/>
      <c r="I121" s="138"/>
      <c r="J121" s="6">
        <f t="shared" si="33"/>
        <v>0</v>
      </c>
      <c r="K121" s="6">
        <f t="shared" si="22"/>
        <v>0</v>
      </c>
      <c r="L121" s="4">
        <f>SUMIF('Data input'!$D$3:$D$202,B121,$X$3:$X$202)</f>
        <v>0</v>
      </c>
      <c r="M121" s="4">
        <f>SUMIF('Data input'!$D$3:$D$202,B121,$AC$3:$AC$202)</f>
        <v>0</v>
      </c>
      <c r="N121" s="67">
        <f>SUMIF('Data input'!$D$3:$D$202,B121,$AD$3:$AD$202)</f>
        <v>0</v>
      </c>
      <c r="O121" s="30">
        <f>'Data input'!A121</f>
        <v>119</v>
      </c>
      <c r="P121" s="11">
        <f>'Data input'!G121*('Data input'!H121/1000)</f>
        <v>0</v>
      </c>
      <c r="Q121" s="11">
        <f>'Data input'!G121*('Data input'!H121/1000)*('Data input'!I121/1000)</f>
        <v>0</v>
      </c>
      <c r="R121" s="11">
        <f>'Data input'!G121*('Data input'!H121/1000)*('Data input'!I121/1000)*('Data input'!J121/1000)</f>
        <v>0</v>
      </c>
      <c r="S121" s="11" t="str">
        <f>IF(ISNA(VLOOKUP('Data input'!D121,$B$2:$C$200,2,FALSE)),"",VLOOKUP('Data input'!D121,$B$2:$C$200,2,FALSE))</f>
        <v/>
      </c>
      <c r="T121" s="11" t="str">
        <f>IF(S121="m3",Costs!R121,IF(S121="Each",'Data input'!G121,IF(S121="m",Costs!P121,IF(S121="m2",Costs!Q121,""))))</f>
        <v/>
      </c>
      <c r="U121" s="4" t="str">
        <f>IF(ISNA(VLOOKUP('Data input'!D121,$B$2:$J$200,9,FALSE)),"",VLOOKUP('Data input'!D121,$B$2:$J$200,9,FALSE))</f>
        <v/>
      </c>
      <c r="V121" s="4" t="e">
        <f t="shared" si="26"/>
        <v>#VALUE!</v>
      </c>
      <c r="W121">
        <f>'Data input'!M121</f>
        <v>0</v>
      </c>
      <c r="X121" s="4">
        <f t="shared" si="34"/>
        <v>0</v>
      </c>
      <c r="Y121" s="4" t="e">
        <f t="shared" si="27"/>
        <v>#VALUE!</v>
      </c>
      <c r="Z121" s="4" t="str">
        <f>IF(ISNA(VLOOKUP('Data input'!D121,$B$2:$E$200,4,FALSE)),"",VLOOKUP('Data input'!D121,$B$2:$E$200,4,FALSE))</f>
        <v/>
      </c>
      <c r="AA121" s="4" t="e">
        <f t="shared" si="35"/>
        <v>#VALUE!</v>
      </c>
      <c r="AB121">
        <f>'Data input'!N121</f>
        <v>0</v>
      </c>
      <c r="AC121">
        <f t="shared" si="28"/>
        <v>0</v>
      </c>
      <c r="AD121" s="4">
        <f t="shared" si="29"/>
        <v>0</v>
      </c>
      <c r="AE121" s="6">
        <f t="shared" si="30"/>
        <v>0</v>
      </c>
    </row>
    <row r="122" spans="1:31" x14ac:dyDescent="0.35">
      <c r="A122" t="str">
        <f>Lists!A$22</f>
        <v>Dredging_spoil</v>
      </c>
      <c r="B122" t="s">
        <v>440</v>
      </c>
      <c r="C122" s="8" t="s">
        <v>439</v>
      </c>
      <c r="E122" s="138"/>
      <c r="F122" s="14"/>
      <c r="H122" s="138"/>
      <c r="I122" s="138"/>
      <c r="J122" s="6">
        <f t="shared" ref="J122:J125" si="38">H122+I122</f>
        <v>0</v>
      </c>
      <c r="K122" s="6">
        <f t="shared" si="22"/>
        <v>0</v>
      </c>
      <c r="L122" s="4">
        <f>SUMIF('Data input'!$D$3:$D$202,B122,$X$3:$X$202)</f>
        <v>0</v>
      </c>
      <c r="M122" s="4">
        <f>SUMIF('Data input'!$D$3:$D$202,B122,$AC$3:$AC$202)</f>
        <v>0</v>
      </c>
      <c r="N122" s="67">
        <f>SUMIF('Data input'!$D$3:$D$202,B122,$AD$3:$AD$202)</f>
        <v>0</v>
      </c>
      <c r="O122" s="30">
        <f>'Data input'!A122</f>
        <v>120</v>
      </c>
      <c r="P122" s="11">
        <f>'Data input'!G122*('Data input'!H122/1000)</f>
        <v>0</v>
      </c>
      <c r="Q122" s="11">
        <f>'Data input'!G122*('Data input'!H122/1000)*('Data input'!I122/1000)</f>
        <v>0</v>
      </c>
      <c r="R122" s="11">
        <f>'Data input'!G122*('Data input'!H122/1000)*('Data input'!I122/1000)*('Data input'!J122/1000)</f>
        <v>0</v>
      </c>
      <c r="S122" s="11" t="str">
        <f>IF(ISNA(VLOOKUP('Data input'!D122,$B$2:$C$200,2,FALSE)),"",VLOOKUP('Data input'!D122,$B$2:$C$200,2,FALSE))</f>
        <v/>
      </c>
      <c r="T122" s="11" t="str">
        <f>IF(S122="m3",Costs!R122,IF(S122="Each",'Data input'!G122,IF(S122="m",Costs!P122,IF(S122="m2",Costs!Q122,""))))</f>
        <v/>
      </c>
      <c r="U122" s="4" t="str">
        <f>IF(ISNA(VLOOKUP('Data input'!D122,$B$2:$J$200,9,FALSE)),"",VLOOKUP('Data input'!D122,$B$2:$J$200,9,FALSE))</f>
        <v/>
      </c>
      <c r="V122" s="4" t="e">
        <f t="shared" si="26"/>
        <v>#VALUE!</v>
      </c>
      <c r="W122">
        <f>'Data input'!M122</f>
        <v>0</v>
      </c>
      <c r="X122" s="4">
        <f t="shared" si="34"/>
        <v>0</v>
      </c>
      <c r="Y122" s="4" t="e">
        <f t="shared" si="27"/>
        <v>#VALUE!</v>
      </c>
      <c r="Z122" s="4" t="str">
        <f>IF(ISNA(VLOOKUP('Data input'!D122,$B$2:$E$200,4,FALSE)),"",VLOOKUP('Data input'!D122,$B$2:$E$200,4,FALSE))</f>
        <v/>
      </c>
      <c r="AA122" s="4" t="e">
        <f t="shared" si="35"/>
        <v>#VALUE!</v>
      </c>
      <c r="AB122">
        <f>'Data input'!N122</f>
        <v>0</v>
      </c>
      <c r="AC122">
        <f t="shared" si="28"/>
        <v>0</v>
      </c>
      <c r="AD122" s="4">
        <f t="shared" si="29"/>
        <v>0</v>
      </c>
      <c r="AE122" s="6">
        <f t="shared" si="30"/>
        <v>0</v>
      </c>
    </row>
    <row r="123" spans="1:31" x14ac:dyDescent="0.35">
      <c r="A123" t="str">
        <f>Lists!A$23</f>
        <v>Gypsum_materials</v>
      </c>
      <c r="B123" t="s">
        <v>441</v>
      </c>
      <c r="C123" s="8" t="s">
        <v>362</v>
      </c>
      <c r="E123" s="136">
        <v>4.5681818181818183</v>
      </c>
      <c r="F123" s="14">
        <f>SUMIF('Data input'!D$3:D$202,B123,$Q$3:$Q$202)</f>
        <v>0</v>
      </c>
      <c r="G123" s="4">
        <f t="shared" ref="G123:G124" si="39">E123*F123</f>
        <v>0</v>
      </c>
      <c r="H123" s="136">
        <v>3.6037878787878785</v>
      </c>
      <c r="I123" s="136"/>
      <c r="J123" s="6">
        <f t="shared" si="38"/>
        <v>3.6037878787878785</v>
      </c>
      <c r="K123" s="6">
        <f t="shared" si="22"/>
        <v>0</v>
      </c>
      <c r="L123" s="4">
        <f>SUMIF('Data input'!$D$3:$D$202,B123,$X$3:$X$202)</f>
        <v>0</v>
      </c>
      <c r="M123" s="4">
        <f>SUMIF('Data input'!$D$3:$D$202,B123,$AC$3:$AC$202)</f>
        <v>0</v>
      </c>
      <c r="N123" s="67">
        <f>SUMIF('Data input'!$D$3:$D$202,B123,$AD$3:$AD$202)</f>
        <v>0</v>
      </c>
      <c r="O123" s="30">
        <f>'Data input'!A123</f>
        <v>121</v>
      </c>
      <c r="P123" s="11">
        <f>'Data input'!G123*('Data input'!H123/1000)</f>
        <v>0</v>
      </c>
      <c r="Q123" s="11">
        <f>'Data input'!G123*('Data input'!H123/1000)*('Data input'!I123/1000)</f>
        <v>0</v>
      </c>
      <c r="R123" s="11">
        <f>'Data input'!G123*('Data input'!H123/1000)*('Data input'!I123/1000)*('Data input'!J123/1000)</f>
        <v>0</v>
      </c>
      <c r="S123" s="11" t="str">
        <f>IF(ISNA(VLOOKUP('Data input'!D123,$B$2:$C$200,2,FALSE)),"",VLOOKUP('Data input'!D123,$B$2:$C$200,2,FALSE))</f>
        <v/>
      </c>
      <c r="T123" s="11" t="str">
        <f>IF(S123="m3",Costs!R123,IF(S123="Each",'Data input'!G123,IF(S123="m",Costs!P123,IF(S123="m2",Costs!Q123,""))))</f>
        <v/>
      </c>
      <c r="U123" s="4" t="str">
        <f>IF(ISNA(VLOOKUP('Data input'!D123,$B$2:$J$200,9,FALSE)),"",VLOOKUP('Data input'!D123,$B$2:$J$200,9,FALSE))</f>
        <v/>
      </c>
      <c r="V123" s="4" t="e">
        <f t="shared" si="26"/>
        <v>#VALUE!</v>
      </c>
      <c r="W123">
        <f>'Data input'!M123</f>
        <v>0</v>
      </c>
      <c r="X123" s="4">
        <f t="shared" si="34"/>
        <v>0</v>
      </c>
      <c r="Y123" s="4" t="e">
        <f t="shared" si="27"/>
        <v>#VALUE!</v>
      </c>
      <c r="Z123" s="4" t="str">
        <f>IF(ISNA(VLOOKUP('Data input'!D123,$B$2:$E$200,4,FALSE)),"",VLOOKUP('Data input'!D123,$B$2:$E$200,4,FALSE))</f>
        <v/>
      </c>
      <c r="AA123" s="4" t="e">
        <f t="shared" si="35"/>
        <v>#VALUE!</v>
      </c>
      <c r="AB123">
        <f>'Data input'!N123</f>
        <v>0</v>
      </c>
      <c r="AC123">
        <f t="shared" si="28"/>
        <v>0</v>
      </c>
      <c r="AD123" s="4">
        <f t="shared" si="29"/>
        <v>0</v>
      </c>
      <c r="AE123" s="6">
        <f t="shared" si="30"/>
        <v>0</v>
      </c>
    </row>
    <row r="124" spans="1:31" x14ac:dyDescent="0.35">
      <c r="A124" t="str">
        <f>Lists!A$24</f>
        <v>Unused_or_unset_cement</v>
      </c>
      <c r="B124" t="s">
        <v>442</v>
      </c>
      <c r="C124" s="8" t="s">
        <v>372</v>
      </c>
      <c r="E124" s="136">
        <v>286.95999999999998</v>
      </c>
      <c r="F124" s="14">
        <f>SUMIF('Data input'!D$3:D$202,B124,$R$3:$R$202)</f>
        <v>0</v>
      </c>
      <c r="G124" s="4">
        <f t="shared" si="39"/>
        <v>0</v>
      </c>
      <c r="H124" s="138"/>
      <c r="I124" s="138"/>
      <c r="J124" s="6">
        <f t="shared" si="38"/>
        <v>0</v>
      </c>
      <c r="K124" s="6">
        <f t="shared" si="22"/>
        <v>0</v>
      </c>
      <c r="L124" s="4">
        <f>SUMIF('Data input'!$D$3:$D$202,B124,$X$3:$X$202)</f>
        <v>0</v>
      </c>
      <c r="M124" s="4">
        <f>SUMIF('Data input'!$D$3:$D$202,B124,$AC$3:$AC$202)</f>
        <v>0</v>
      </c>
      <c r="N124" s="67">
        <f>SUMIF('Data input'!$D$3:$D$202,B124,$AD$3:$AD$202)</f>
        <v>0</v>
      </c>
      <c r="O124" s="30">
        <f>'Data input'!A124</f>
        <v>122</v>
      </c>
      <c r="P124" s="11">
        <f>'Data input'!G124*('Data input'!H124/1000)</f>
        <v>0</v>
      </c>
      <c r="Q124" s="11">
        <f>'Data input'!G124*('Data input'!H124/1000)*('Data input'!I124/1000)</f>
        <v>0</v>
      </c>
      <c r="R124" s="11">
        <f>'Data input'!G124*('Data input'!H124/1000)*('Data input'!I124/1000)*('Data input'!J124/1000)</f>
        <v>0</v>
      </c>
      <c r="S124" s="11" t="str">
        <f>IF(ISNA(VLOOKUP('Data input'!D124,$B$2:$C$200,2,FALSE)),"",VLOOKUP('Data input'!D124,$B$2:$C$200,2,FALSE))</f>
        <v/>
      </c>
      <c r="T124" s="11" t="str">
        <f>IF(S124="m3",Costs!R124,IF(S124="Each",'Data input'!G124,IF(S124="m",Costs!P124,IF(S124="m2",Costs!Q124,""))))</f>
        <v/>
      </c>
      <c r="U124" s="4" t="str">
        <f>IF(ISNA(VLOOKUP('Data input'!D124,$B$2:$J$200,9,FALSE)),"",VLOOKUP('Data input'!D124,$B$2:$J$200,9,FALSE))</f>
        <v/>
      </c>
      <c r="V124" s="4" t="e">
        <f t="shared" si="26"/>
        <v>#VALUE!</v>
      </c>
      <c r="W124">
        <f>'Data input'!M124</f>
        <v>0</v>
      </c>
      <c r="X124" s="4">
        <f t="shared" si="34"/>
        <v>0</v>
      </c>
      <c r="Y124" s="4" t="e">
        <f t="shared" si="27"/>
        <v>#VALUE!</v>
      </c>
      <c r="Z124" s="4" t="str">
        <f>IF(ISNA(VLOOKUP('Data input'!D124,$B$2:$E$200,4,FALSE)),"",VLOOKUP('Data input'!D124,$B$2:$E$200,4,FALSE))</f>
        <v/>
      </c>
      <c r="AA124" s="4" t="e">
        <f t="shared" si="35"/>
        <v>#VALUE!</v>
      </c>
      <c r="AB124">
        <f>'Data input'!N124</f>
        <v>0</v>
      </c>
      <c r="AC124">
        <f t="shared" si="28"/>
        <v>0</v>
      </c>
      <c r="AD124" s="4">
        <f t="shared" si="29"/>
        <v>0</v>
      </c>
      <c r="AE124" s="6">
        <f t="shared" si="30"/>
        <v>0</v>
      </c>
    </row>
    <row r="125" spans="1:31" x14ac:dyDescent="0.35">
      <c r="A125" t="str">
        <f>Lists!A$25</f>
        <v>Mixed_construction_and_demolition_wastes</v>
      </c>
      <c r="B125" t="s">
        <v>443</v>
      </c>
      <c r="C125" s="8" t="s">
        <v>439</v>
      </c>
      <c r="E125" s="138"/>
      <c r="F125" s="14"/>
      <c r="H125" s="138"/>
      <c r="I125" s="138"/>
      <c r="J125" s="6">
        <f t="shared" si="38"/>
        <v>0</v>
      </c>
      <c r="K125" s="6">
        <f>F125*J125</f>
        <v>0</v>
      </c>
      <c r="L125" s="4">
        <f>SUMIF('Data input'!$D$3:$D$202,B125,$X$3:$X$202)</f>
        <v>0</v>
      </c>
      <c r="M125" s="4">
        <f>SUMIF('Data input'!$D$3:$D$202,B125,$AC$3:$AC$202)</f>
        <v>0</v>
      </c>
      <c r="N125" s="67">
        <f>SUMIF('Data input'!$D$3:$D$202,B125,$AD$3:$AD$202)</f>
        <v>0</v>
      </c>
      <c r="O125" s="30">
        <f>'Data input'!A125</f>
        <v>123</v>
      </c>
      <c r="P125" s="11">
        <f>'Data input'!G125*('Data input'!H125/1000)</f>
        <v>0</v>
      </c>
      <c r="Q125" s="11">
        <f>'Data input'!G125*('Data input'!H125/1000)*('Data input'!I125/1000)</f>
        <v>0</v>
      </c>
      <c r="R125" s="11">
        <f>'Data input'!G125*('Data input'!H125/1000)*('Data input'!I125/1000)*('Data input'!J125/1000)</f>
        <v>0</v>
      </c>
      <c r="S125" s="11" t="str">
        <f>IF(ISNA(VLOOKUP('Data input'!D125,$B$2:$C$200,2,FALSE)),"",VLOOKUP('Data input'!D125,$B$2:$C$200,2,FALSE))</f>
        <v/>
      </c>
      <c r="T125" s="11" t="str">
        <f>IF(S125="m3",Costs!R125,IF(S125="Each",'Data input'!G125,IF(S125="m",Costs!P125,IF(S125="m2",Costs!Q125,""))))</f>
        <v/>
      </c>
      <c r="U125" s="4" t="str">
        <f>IF(ISNA(VLOOKUP('Data input'!D125,$B$2:$J$200,9,FALSE)),"",VLOOKUP('Data input'!D125,$B$2:$J$200,9,FALSE))</f>
        <v/>
      </c>
      <c r="V125" s="4" t="e">
        <f t="shared" si="26"/>
        <v>#VALUE!</v>
      </c>
      <c r="W125">
        <f>'Data input'!M125</f>
        <v>0</v>
      </c>
      <c r="X125" s="4">
        <f t="shared" si="34"/>
        <v>0</v>
      </c>
      <c r="Y125" s="4" t="e">
        <f t="shared" si="27"/>
        <v>#VALUE!</v>
      </c>
      <c r="Z125" s="4" t="str">
        <f>IF(ISNA(VLOOKUP('Data input'!D125,$B$2:$E$200,4,FALSE)),"",VLOOKUP('Data input'!D125,$B$2:$E$200,4,FALSE))</f>
        <v/>
      </c>
      <c r="AA125" s="4" t="e">
        <f t="shared" si="35"/>
        <v>#VALUE!</v>
      </c>
      <c r="AB125">
        <f>'Data input'!N125</f>
        <v>0</v>
      </c>
      <c r="AC125">
        <f t="shared" si="28"/>
        <v>0</v>
      </c>
      <c r="AD125" s="4">
        <f t="shared" si="29"/>
        <v>0</v>
      </c>
      <c r="AE125" s="6">
        <f t="shared" si="30"/>
        <v>0</v>
      </c>
    </row>
    <row r="126" spans="1:31" x14ac:dyDescent="0.35">
      <c r="A126" t="str">
        <f>Lists!A$25</f>
        <v>Mixed_construction_and_demolition_wastes</v>
      </c>
      <c r="B126" t="s">
        <v>97</v>
      </c>
      <c r="C126" s="8" t="s">
        <v>439</v>
      </c>
      <c r="E126" s="139"/>
      <c r="H126" s="139"/>
      <c r="I126" s="139"/>
      <c r="O126" s="30">
        <f>'Data input'!A126</f>
        <v>124</v>
      </c>
      <c r="P126" s="11">
        <f>'Data input'!G126*('Data input'!H126/1000)</f>
        <v>0</v>
      </c>
      <c r="Q126" s="11">
        <f>'Data input'!G126*('Data input'!H126/1000)*('Data input'!I126/1000)</f>
        <v>0</v>
      </c>
      <c r="R126" s="11">
        <f>'Data input'!G126*('Data input'!H126/1000)*('Data input'!I126/1000)*('Data input'!J126/1000)</f>
        <v>0</v>
      </c>
      <c r="S126" s="11" t="str">
        <f>IF(ISNA(VLOOKUP('Data input'!D126,$B$2:$C$200,2,FALSE)),"",VLOOKUP('Data input'!D126,$B$2:$C$200,2,FALSE))</f>
        <v/>
      </c>
      <c r="T126" s="11" t="str">
        <f>IF(S126="m3",Costs!R126,IF(S126="Each",'Data input'!G126,IF(S126="m",Costs!P126,IF(S126="m2",Costs!Q126,""))))</f>
        <v/>
      </c>
      <c r="U126" s="4" t="str">
        <f>IF(ISNA(VLOOKUP('Data input'!D126,$B$2:$J$200,9,FALSE)),"",VLOOKUP('Data input'!D126,$B$2:$J$200,9,FALSE))</f>
        <v/>
      </c>
      <c r="V126" s="4" t="e">
        <f t="shared" si="26"/>
        <v>#VALUE!</v>
      </c>
      <c r="W126">
        <f>'Data input'!M126</f>
        <v>0</v>
      </c>
      <c r="X126" s="4">
        <f t="shared" si="34"/>
        <v>0</v>
      </c>
      <c r="Y126" s="4" t="e">
        <f t="shared" si="27"/>
        <v>#VALUE!</v>
      </c>
      <c r="Z126" s="4" t="str">
        <f>IF(ISNA(VLOOKUP('Data input'!D126,$B$2:$E$200,4,FALSE)),"",VLOOKUP('Data input'!D126,$B$2:$E$200,4,FALSE))</f>
        <v/>
      </c>
      <c r="AA126" s="4" t="e">
        <f t="shared" si="35"/>
        <v>#VALUE!</v>
      </c>
      <c r="AB126">
        <f>'Data input'!N126</f>
        <v>0</v>
      </c>
      <c r="AC126">
        <f t="shared" si="28"/>
        <v>0</v>
      </c>
      <c r="AD126" s="4">
        <f t="shared" si="29"/>
        <v>0</v>
      </c>
      <c r="AE126" s="6">
        <f t="shared" si="30"/>
        <v>0</v>
      </c>
    </row>
    <row r="127" spans="1:31" x14ac:dyDescent="0.35">
      <c r="A127" t="str">
        <f>Lists!A$25</f>
        <v>Mixed_construction_and_demolition_wastes</v>
      </c>
      <c r="B127" t="s">
        <v>109</v>
      </c>
      <c r="C127" s="8" t="s">
        <v>439</v>
      </c>
      <c r="E127" s="139"/>
      <c r="H127" s="139"/>
      <c r="I127" s="139"/>
      <c r="O127" s="30">
        <f>'Data input'!A127</f>
        <v>125</v>
      </c>
      <c r="P127" s="11">
        <f>'Data input'!G127*('Data input'!H127/1000)</f>
        <v>0</v>
      </c>
      <c r="Q127" s="11">
        <f>'Data input'!G127*('Data input'!H127/1000)*('Data input'!I127/1000)</f>
        <v>0</v>
      </c>
      <c r="R127" s="11">
        <f>'Data input'!G127*('Data input'!H127/1000)*('Data input'!I127/1000)*('Data input'!J127/1000)</f>
        <v>0</v>
      </c>
      <c r="S127" s="11" t="str">
        <f>IF(ISNA(VLOOKUP('Data input'!D127,$B$2:$C$200,2,FALSE)),"",VLOOKUP('Data input'!D127,$B$2:$C$200,2,FALSE))</f>
        <v/>
      </c>
      <c r="T127" s="11" t="str">
        <f>IF(S127="m3",Costs!R127,IF(S127="Each",'Data input'!G127,IF(S127="m",Costs!P127,IF(S127="m2",Costs!Q127,""))))</f>
        <v/>
      </c>
      <c r="U127" s="4" t="str">
        <f>IF(ISNA(VLOOKUP('Data input'!D127,$B$2:$J$200,9,FALSE)),"",VLOOKUP('Data input'!D127,$B$2:$J$200,9,FALSE))</f>
        <v/>
      </c>
      <c r="V127" s="4" t="e">
        <f t="shared" si="26"/>
        <v>#VALUE!</v>
      </c>
      <c r="W127">
        <f>'Data input'!M127</f>
        <v>0</v>
      </c>
      <c r="X127" s="4">
        <f t="shared" si="34"/>
        <v>0</v>
      </c>
      <c r="Y127" s="4" t="e">
        <f t="shared" si="27"/>
        <v>#VALUE!</v>
      </c>
      <c r="Z127" s="4" t="str">
        <f>IF(ISNA(VLOOKUP('Data input'!D127,$B$2:$E$200,4,FALSE)),"",VLOOKUP('Data input'!D127,$B$2:$E$200,4,FALSE))</f>
        <v/>
      </c>
      <c r="AA127" s="4" t="e">
        <f t="shared" si="35"/>
        <v>#VALUE!</v>
      </c>
      <c r="AB127">
        <f>'Data input'!N127</f>
        <v>0</v>
      </c>
      <c r="AC127">
        <f t="shared" si="28"/>
        <v>0</v>
      </c>
      <c r="AD127" s="4">
        <f t="shared" si="29"/>
        <v>0</v>
      </c>
      <c r="AE127" s="6">
        <f t="shared" si="30"/>
        <v>0</v>
      </c>
    </row>
    <row r="128" spans="1:31" x14ac:dyDescent="0.35">
      <c r="A128" t="str">
        <f>Lists!A$25</f>
        <v>Mixed_construction_and_demolition_wastes</v>
      </c>
      <c r="B128" t="s">
        <v>121</v>
      </c>
      <c r="C128" s="8" t="s">
        <v>439</v>
      </c>
      <c r="E128" s="139"/>
      <c r="H128" s="139"/>
      <c r="I128" s="139"/>
      <c r="O128" s="30">
        <f>'Data input'!A128</f>
        <v>126</v>
      </c>
      <c r="P128" s="11">
        <f>'Data input'!G128*('Data input'!H128/1000)</f>
        <v>0</v>
      </c>
      <c r="Q128" s="11">
        <f>'Data input'!G128*('Data input'!H128/1000)*('Data input'!I128/1000)</f>
        <v>0</v>
      </c>
      <c r="R128" s="11">
        <f>'Data input'!G128*('Data input'!H128/1000)*('Data input'!I128/1000)*('Data input'!J128/1000)</f>
        <v>0</v>
      </c>
      <c r="S128" s="11" t="str">
        <f>IF(ISNA(VLOOKUP('Data input'!D128,$B$2:$C$200,2,FALSE)),"",VLOOKUP('Data input'!D128,$B$2:$C$200,2,FALSE))</f>
        <v/>
      </c>
      <c r="T128" s="11" t="str">
        <f>IF(S128="m3",Costs!R128,IF(S128="Each",'Data input'!G128,IF(S128="m",Costs!P128,IF(S128="m2",Costs!Q128,""))))</f>
        <v/>
      </c>
      <c r="U128" s="4" t="str">
        <f>IF(ISNA(VLOOKUP('Data input'!D128,$B$2:$J$200,9,FALSE)),"",VLOOKUP('Data input'!D128,$B$2:$J$200,9,FALSE))</f>
        <v/>
      </c>
      <c r="V128" s="4" t="e">
        <f t="shared" si="26"/>
        <v>#VALUE!</v>
      </c>
      <c r="W128">
        <f>'Data input'!M128</f>
        <v>0</v>
      </c>
      <c r="X128" s="4">
        <f t="shared" si="34"/>
        <v>0</v>
      </c>
      <c r="Y128" s="4" t="e">
        <f t="shared" si="27"/>
        <v>#VALUE!</v>
      </c>
      <c r="Z128" s="4" t="str">
        <f>IF(ISNA(VLOOKUP('Data input'!D128,$B$2:$E$200,4,FALSE)),"",VLOOKUP('Data input'!D128,$B$2:$E$200,4,FALSE))</f>
        <v/>
      </c>
      <c r="AA128" s="4" t="e">
        <f t="shared" si="35"/>
        <v>#VALUE!</v>
      </c>
      <c r="AB128">
        <f>'Data input'!N128</f>
        <v>0</v>
      </c>
      <c r="AC128">
        <f t="shared" si="28"/>
        <v>0</v>
      </c>
      <c r="AD128" s="4">
        <f t="shared" si="29"/>
        <v>0</v>
      </c>
      <c r="AE128" s="6">
        <f t="shared" si="30"/>
        <v>0</v>
      </c>
    </row>
    <row r="129" spans="1:31" x14ac:dyDescent="0.35">
      <c r="A129" t="str">
        <f>Lists!A$25</f>
        <v>Mixed_construction_and_demolition_wastes</v>
      </c>
      <c r="B129" t="s">
        <v>444</v>
      </c>
      <c r="C129" s="8" t="s">
        <v>439</v>
      </c>
      <c r="E129" s="139"/>
      <c r="H129" s="139"/>
      <c r="I129" s="139"/>
      <c r="O129" s="30">
        <f>'Data input'!A129</f>
        <v>127</v>
      </c>
      <c r="P129" s="11">
        <f>'Data input'!G129*('Data input'!H129/1000)</f>
        <v>0</v>
      </c>
      <c r="Q129" s="11">
        <f>'Data input'!G129*('Data input'!H129/1000)*('Data input'!I129/1000)</f>
        <v>0</v>
      </c>
      <c r="R129" s="11">
        <f>'Data input'!G129*('Data input'!H129/1000)*('Data input'!I129/1000)*('Data input'!J129/1000)</f>
        <v>0</v>
      </c>
      <c r="S129" s="11" t="str">
        <f>IF(ISNA(VLOOKUP('Data input'!D129,$B$2:$C$200,2,FALSE)),"",VLOOKUP('Data input'!D129,$B$2:$C$200,2,FALSE))</f>
        <v/>
      </c>
      <c r="T129" s="11" t="str">
        <f>IF(S129="m3",Costs!R129,IF(S129="Each",'Data input'!G129,IF(S129="m",Costs!P129,IF(S129="m2",Costs!Q129,""))))</f>
        <v/>
      </c>
      <c r="U129" s="4" t="str">
        <f>IF(ISNA(VLOOKUP('Data input'!D129,$B$2:$J$200,9,FALSE)),"",VLOOKUP('Data input'!D129,$B$2:$J$200,9,FALSE))</f>
        <v/>
      </c>
      <c r="V129" s="4" t="e">
        <f t="shared" si="26"/>
        <v>#VALUE!</v>
      </c>
      <c r="W129">
        <f>'Data input'!M129</f>
        <v>0</v>
      </c>
      <c r="X129" s="4">
        <f t="shared" si="34"/>
        <v>0</v>
      </c>
      <c r="Y129" s="4" t="e">
        <f t="shared" si="27"/>
        <v>#VALUE!</v>
      </c>
      <c r="Z129" s="4" t="str">
        <f>IF(ISNA(VLOOKUP('Data input'!D129,$B$2:$E$200,4,FALSE)),"",VLOOKUP('Data input'!D129,$B$2:$E$200,4,FALSE))</f>
        <v/>
      </c>
      <c r="AA129" s="4" t="e">
        <f t="shared" si="35"/>
        <v>#VALUE!</v>
      </c>
      <c r="AB129">
        <f>'Data input'!N129</f>
        <v>0</v>
      </c>
      <c r="AC129">
        <f t="shared" si="28"/>
        <v>0</v>
      </c>
      <c r="AD129" s="4">
        <f t="shared" si="29"/>
        <v>0</v>
      </c>
      <c r="AE129" s="6">
        <f t="shared" si="30"/>
        <v>0</v>
      </c>
    </row>
    <row r="130" spans="1:31" x14ac:dyDescent="0.35">
      <c r="A130" t="str">
        <f>Lists!A$25</f>
        <v>Mixed_construction_and_demolition_wastes</v>
      </c>
      <c r="B130" t="s">
        <v>445</v>
      </c>
      <c r="C130" s="8" t="s">
        <v>439</v>
      </c>
      <c r="E130" s="139"/>
      <c r="H130" s="139"/>
      <c r="I130" s="139"/>
      <c r="O130" s="30">
        <f>'Data input'!A130</f>
        <v>128</v>
      </c>
      <c r="P130" s="11">
        <f>'Data input'!G130*('Data input'!H130/1000)</f>
        <v>0</v>
      </c>
      <c r="Q130" s="11">
        <f>'Data input'!G130*('Data input'!H130/1000)*('Data input'!I130/1000)</f>
        <v>0</v>
      </c>
      <c r="R130" s="11">
        <f>'Data input'!G130*('Data input'!H130/1000)*('Data input'!I130/1000)*('Data input'!J130/1000)</f>
        <v>0</v>
      </c>
      <c r="S130" s="11" t="str">
        <f>IF(ISNA(VLOOKUP('Data input'!D130,$B$2:$C$200,2,FALSE)),"",VLOOKUP('Data input'!D130,$B$2:$C$200,2,FALSE))</f>
        <v/>
      </c>
      <c r="T130" s="11" t="str">
        <f>IF(S130="m3",Costs!R130,IF(S130="Each",'Data input'!G130,IF(S130="m",Costs!P130,IF(S130="m2",Costs!Q130,""))))</f>
        <v/>
      </c>
      <c r="U130" s="4" t="str">
        <f>IF(ISNA(VLOOKUP('Data input'!D130,$B$2:$J$200,9,FALSE)),"",VLOOKUP('Data input'!D130,$B$2:$J$200,9,FALSE))</f>
        <v/>
      </c>
      <c r="V130" s="4" t="e">
        <f t="shared" si="26"/>
        <v>#VALUE!</v>
      </c>
      <c r="W130">
        <f>'Data input'!M130</f>
        <v>0</v>
      </c>
      <c r="X130" s="4">
        <f t="shared" si="34"/>
        <v>0</v>
      </c>
      <c r="Y130" s="4" t="e">
        <f t="shared" si="27"/>
        <v>#VALUE!</v>
      </c>
      <c r="Z130" s="4" t="str">
        <f>IF(ISNA(VLOOKUP('Data input'!D130,$B$2:$E$200,4,FALSE)),"",VLOOKUP('Data input'!D130,$B$2:$E$200,4,FALSE))</f>
        <v/>
      </c>
      <c r="AA130" s="4" t="e">
        <f t="shared" si="35"/>
        <v>#VALUE!</v>
      </c>
      <c r="AB130">
        <f>'Data input'!N130</f>
        <v>0</v>
      </c>
      <c r="AC130">
        <f t="shared" si="28"/>
        <v>0</v>
      </c>
      <c r="AD130" s="4">
        <f t="shared" si="29"/>
        <v>0</v>
      </c>
      <c r="AE130" s="6">
        <f t="shared" si="30"/>
        <v>0</v>
      </c>
    </row>
    <row r="131" spans="1:31" x14ac:dyDescent="0.35">
      <c r="A131" t="str">
        <f>Lists!A$25</f>
        <v>Mixed_construction_and_demolition_wastes</v>
      </c>
      <c r="B131" t="s">
        <v>446</v>
      </c>
      <c r="C131" s="8" t="s">
        <v>439</v>
      </c>
      <c r="E131" s="139"/>
      <c r="H131" s="139"/>
      <c r="I131" s="139"/>
      <c r="O131" s="30">
        <f>'Data input'!A131</f>
        <v>129</v>
      </c>
      <c r="P131" s="11">
        <f>'Data input'!G131*('Data input'!H131/1000)</f>
        <v>0</v>
      </c>
      <c r="Q131" s="11">
        <f>'Data input'!G131*('Data input'!H131/1000)*('Data input'!I131/1000)</f>
        <v>0</v>
      </c>
      <c r="R131" s="11">
        <f>'Data input'!G131*('Data input'!H131/1000)*('Data input'!I131/1000)*('Data input'!J131/1000)</f>
        <v>0</v>
      </c>
      <c r="S131" s="11" t="str">
        <f>IF(ISNA(VLOOKUP('Data input'!D131,$B$2:$C$200,2,FALSE)),"",VLOOKUP('Data input'!D131,$B$2:$C$200,2,FALSE))</f>
        <v/>
      </c>
      <c r="T131" s="11" t="str">
        <f>IF(S131="m3",Costs!R131,IF(S131="Each",'Data input'!G131,IF(S131="m",Costs!P131,IF(S131="m2",Costs!Q131,""))))</f>
        <v/>
      </c>
      <c r="U131" s="4" t="str">
        <f>IF(ISNA(VLOOKUP('Data input'!D131,$B$2:$J$200,9,FALSE)),"",VLOOKUP('Data input'!D131,$B$2:$J$200,9,FALSE))</f>
        <v/>
      </c>
      <c r="V131" s="4" t="e">
        <f t="shared" si="26"/>
        <v>#VALUE!</v>
      </c>
      <c r="W131">
        <f>'Data input'!M131</f>
        <v>0</v>
      </c>
      <c r="X131" s="4">
        <f t="shared" ref="X131:X162" si="40">SUMIF(W131,"Yes",V131)</f>
        <v>0</v>
      </c>
      <c r="Y131" s="4" t="e">
        <f t="shared" si="27"/>
        <v>#VALUE!</v>
      </c>
      <c r="Z131" s="4" t="str">
        <f>IF(ISNA(VLOOKUP('Data input'!D131,$B$2:$E$200,4,FALSE)),"",VLOOKUP('Data input'!D131,$B$2:$E$200,4,FALSE))</f>
        <v/>
      </c>
      <c r="AA131" s="4" t="e">
        <f t="shared" ref="AA131:AA162" si="41">T131*Z131</f>
        <v>#VALUE!</v>
      </c>
      <c r="AB131">
        <f>'Data input'!N131</f>
        <v>0</v>
      </c>
      <c r="AC131">
        <f t="shared" si="28"/>
        <v>0</v>
      </c>
      <c r="AD131" s="4">
        <f t="shared" si="29"/>
        <v>0</v>
      </c>
      <c r="AE131" s="6">
        <f t="shared" si="30"/>
        <v>0</v>
      </c>
    </row>
    <row r="132" spans="1:31" x14ac:dyDescent="0.35">
      <c r="A132" t="str">
        <f>Lists!A$25</f>
        <v>Mixed_construction_and_demolition_wastes</v>
      </c>
      <c r="B132" t="s">
        <v>447</v>
      </c>
      <c r="C132" s="8" t="s">
        <v>439</v>
      </c>
      <c r="E132" s="139"/>
      <c r="H132" s="139"/>
      <c r="I132" s="139"/>
      <c r="O132" s="30">
        <f>'Data input'!A132</f>
        <v>130</v>
      </c>
      <c r="P132" s="11">
        <f>'Data input'!G132*('Data input'!H132/1000)</f>
        <v>0</v>
      </c>
      <c r="Q132" s="11">
        <f>'Data input'!G132*('Data input'!H132/1000)*('Data input'!I132/1000)</f>
        <v>0</v>
      </c>
      <c r="R132" s="11">
        <f>'Data input'!G132*('Data input'!H132/1000)*('Data input'!I132/1000)*('Data input'!J132/1000)</f>
        <v>0</v>
      </c>
      <c r="S132" s="11" t="str">
        <f>IF(ISNA(VLOOKUP('Data input'!D132,$B$2:$C$200,2,FALSE)),"",VLOOKUP('Data input'!D132,$B$2:$C$200,2,FALSE))</f>
        <v/>
      </c>
      <c r="T132" s="11" t="str">
        <f>IF(S132="m3",Costs!R132,IF(S132="Each",'Data input'!G132,IF(S132="m",Costs!P132,IF(S132="m2",Costs!Q132,""))))</f>
        <v/>
      </c>
      <c r="U132" s="4" t="str">
        <f>IF(ISNA(VLOOKUP('Data input'!D132,$B$2:$J$200,9,FALSE)),"",VLOOKUP('Data input'!D132,$B$2:$J$200,9,FALSE))</f>
        <v/>
      </c>
      <c r="V132" s="4" t="e">
        <f t="shared" ref="V132:V195" si="42">T132*U132</f>
        <v>#VALUE!</v>
      </c>
      <c r="W132">
        <f>'Data input'!M132</f>
        <v>0</v>
      </c>
      <c r="X132" s="4">
        <f t="shared" si="40"/>
        <v>0</v>
      </c>
      <c r="Y132" s="4" t="e">
        <f t="shared" ref="Y132:Y195" si="43">V132</f>
        <v>#VALUE!</v>
      </c>
      <c r="Z132" s="4" t="str">
        <f>IF(ISNA(VLOOKUP('Data input'!D132,$B$2:$E$200,4,FALSE)),"",VLOOKUP('Data input'!D132,$B$2:$E$200,4,FALSE))</f>
        <v/>
      </c>
      <c r="AA132" s="4" t="e">
        <f t="shared" si="41"/>
        <v>#VALUE!</v>
      </c>
      <c r="AB132">
        <f>'Data input'!N132</f>
        <v>0</v>
      </c>
      <c r="AC132">
        <f t="shared" ref="AC132:AC195" si="44">SUMIF(AB132,"Yes",Y132)</f>
        <v>0</v>
      </c>
      <c r="AD132" s="4">
        <f t="shared" ref="AD132:AD195" si="45">SUMIF(AB132,"Yes",AA132)</f>
        <v>0</v>
      </c>
      <c r="AE132" s="6">
        <f t="shared" ref="AE132:AE195" si="46">AC132+AD132</f>
        <v>0</v>
      </c>
    </row>
    <row r="133" spans="1:31" x14ac:dyDescent="0.35">
      <c r="A133" t="str">
        <f>Lists!A$25</f>
        <v>Mixed_construction_and_demolition_wastes</v>
      </c>
      <c r="B133" t="s">
        <v>448</v>
      </c>
      <c r="C133" s="8" t="s">
        <v>439</v>
      </c>
      <c r="E133" s="139"/>
      <c r="H133" s="139"/>
      <c r="I133" s="139"/>
      <c r="O133" s="30">
        <f>'Data input'!A133</f>
        <v>131</v>
      </c>
      <c r="P133" s="11">
        <f>'Data input'!G133*('Data input'!H133/1000)</f>
        <v>0</v>
      </c>
      <c r="Q133" s="11">
        <f>'Data input'!G133*('Data input'!H133/1000)*('Data input'!I133/1000)</f>
        <v>0</v>
      </c>
      <c r="R133" s="11">
        <f>'Data input'!G133*('Data input'!H133/1000)*('Data input'!I133/1000)*('Data input'!J133/1000)</f>
        <v>0</v>
      </c>
      <c r="S133" s="11" t="str">
        <f>IF(ISNA(VLOOKUP('Data input'!D133,$B$2:$C$200,2,FALSE)),"",VLOOKUP('Data input'!D133,$B$2:$C$200,2,FALSE))</f>
        <v/>
      </c>
      <c r="T133" s="11" t="str">
        <f>IF(S133="m3",Costs!R133,IF(S133="Each",'Data input'!G133,IF(S133="m",Costs!P133,IF(S133="m2",Costs!Q133,""))))</f>
        <v/>
      </c>
      <c r="U133" s="4" t="str">
        <f>IF(ISNA(VLOOKUP('Data input'!D133,$B$2:$J$200,9,FALSE)),"",VLOOKUP('Data input'!D133,$B$2:$J$200,9,FALSE))</f>
        <v/>
      </c>
      <c r="V133" s="4" t="e">
        <f t="shared" si="42"/>
        <v>#VALUE!</v>
      </c>
      <c r="W133">
        <f>'Data input'!M133</f>
        <v>0</v>
      </c>
      <c r="X133" s="4">
        <f t="shared" si="40"/>
        <v>0</v>
      </c>
      <c r="Y133" s="4" t="e">
        <f t="shared" si="43"/>
        <v>#VALUE!</v>
      </c>
      <c r="Z133" s="4" t="str">
        <f>IF(ISNA(VLOOKUP('Data input'!D133,$B$2:$E$200,4,FALSE)),"",VLOOKUP('Data input'!D133,$B$2:$E$200,4,FALSE))</f>
        <v/>
      </c>
      <c r="AA133" s="4" t="e">
        <f t="shared" si="41"/>
        <v>#VALUE!</v>
      </c>
      <c r="AB133">
        <f>'Data input'!N133</f>
        <v>0</v>
      </c>
      <c r="AC133">
        <f t="shared" si="44"/>
        <v>0</v>
      </c>
      <c r="AD133" s="4">
        <f t="shared" si="45"/>
        <v>0</v>
      </c>
      <c r="AE133" s="6">
        <f t="shared" si="46"/>
        <v>0</v>
      </c>
    </row>
    <row r="134" spans="1:31" x14ac:dyDescent="0.35">
      <c r="A134" t="str">
        <f>Lists!A$25</f>
        <v>Mixed_construction_and_demolition_wastes</v>
      </c>
      <c r="B134" t="s">
        <v>449</v>
      </c>
      <c r="C134" s="8" t="s">
        <v>439</v>
      </c>
      <c r="E134" s="139"/>
      <c r="H134" s="139"/>
      <c r="I134" s="139"/>
      <c r="O134" s="30">
        <f>'Data input'!A134</f>
        <v>132</v>
      </c>
      <c r="P134" s="11">
        <f>'Data input'!G134*('Data input'!H134/1000)</f>
        <v>0</v>
      </c>
      <c r="Q134" s="11">
        <f>'Data input'!G134*('Data input'!H134/1000)*('Data input'!I134/1000)</f>
        <v>0</v>
      </c>
      <c r="R134" s="11">
        <f>'Data input'!G134*('Data input'!H134/1000)*('Data input'!I134/1000)*('Data input'!J134/1000)</f>
        <v>0</v>
      </c>
      <c r="S134" s="11" t="str">
        <f>IF(ISNA(VLOOKUP('Data input'!D134,$B$2:$C$200,2,FALSE)),"",VLOOKUP('Data input'!D134,$B$2:$C$200,2,FALSE))</f>
        <v/>
      </c>
      <c r="T134" s="11" t="str">
        <f>IF(S134="m3",Costs!R134,IF(S134="Each",'Data input'!G134,IF(S134="m",Costs!P134,IF(S134="m2",Costs!Q134,""))))</f>
        <v/>
      </c>
      <c r="U134" s="4" t="str">
        <f>IF(ISNA(VLOOKUP('Data input'!D134,$B$2:$J$200,9,FALSE)),"",VLOOKUP('Data input'!D134,$B$2:$J$200,9,FALSE))</f>
        <v/>
      </c>
      <c r="V134" s="4" t="e">
        <f t="shared" si="42"/>
        <v>#VALUE!</v>
      </c>
      <c r="W134">
        <f>'Data input'!M134</f>
        <v>0</v>
      </c>
      <c r="X134" s="4">
        <f t="shared" si="40"/>
        <v>0</v>
      </c>
      <c r="Y134" s="4" t="e">
        <f t="shared" si="43"/>
        <v>#VALUE!</v>
      </c>
      <c r="Z134" s="4" t="str">
        <f>IF(ISNA(VLOOKUP('Data input'!D134,$B$2:$E$200,4,FALSE)),"",VLOOKUP('Data input'!D134,$B$2:$E$200,4,FALSE))</f>
        <v/>
      </c>
      <c r="AA134" s="4" t="e">
        <f t="shared" si="41"/>
        <v>#VALUE!</v>
      </c>
      <c r="AB134">
        <f>'Data input'!N134</f>
        <v>0</v>
      </c>
      <c r="AC134">
        <f t="shared" si="44"/>
        <v>0</v>
      </c>
      <c r="AD134" s="4">
        <f t="shared" si="45"/>
        <v>0</v>
      </c>
      <c r="AE134" s="6">
        <f t="shared" si="46"/>
        <v>0</v>
      </c>
    </row>
    <row r="135" spans="1:31" x14ac:dyDescent="0.35">
      <c r="A135" t="str">
        <f>Lists!A$25</f>
        <v>Mixed_construction_and_demolition_wastes</v>
      </c>
      <c r="B135" t="s">
        <v>450</v>
      </c>
      <c r="C135" s="8" t="s">
        <v>439</v>
      </c>
      <c r="E135" s="139"/>
      <c r="H135" s="139"/>
      <c r="I135" s="139"/>
      <c r="O135" s="30">
        <f>'Data input'!A135</f>
        <v>133</v>
      </c>
      <c r="P135" s="11">
        <f>'Data input'!G135*('Data input'!H135/1000)</f>
        <v>0</v>
      </c>
      <c r="Q135" s="11">
        <f>'Data input'!G135*('Data input'!H135/1000)*('Data input'!I135/1000)</f>
        <v>0</v>
      </c>
      <c r="R135" s="11">
        <f>'Data input'!G135*('Data input'!H135/1000)*('Data input'!I135/1000)*('Data input'!J135/1000)</f>
        <v>0</v>
      </c>
      <c r="S135" s="11" t="str">
        <f>IF(ISNA(VLOOKUP('Data input'!D135,$B$2:$C$200,2,FALSE)),"",VLOOKUP('Data input'!D135,$B$2:$C$200,2,FALSE))</f>
        <v/>
      </c>
      <c r="T135" s="11" t="str">
        <f>IF(S135="m3",Costs!R135,IF(S135="Each",'Data input'!G135,IF(S135="m",Costs!P135,IF(S135="m2",Costs!Q135,""))))</f>
        <v/>
      </c>
      <c r="U135" s="4" t="str">
        <f>IF(ISNA(VLOOKUP('Data input'!D135,$B$2:$J$200,9,FALSE)),"",VLOOKUP('Data input'!D135,$B$2:$J$200,9,FALSE))</f>
        <v/>
      </c>
      <c r="V135" s="4" t="e">
        <f t="shared" si="42"/>
        <v>#VALUE!</v>
      </c>
      <c r="W135">
        <f>'Data input'!M135</f>
        <v>0</v>
      </c>
      <c r="X135" s="4">
        <f t="shared" si="40"/>
        <v>0</v>
      </c>
      <c r="Y135" s="4" t="e">
        <f t="shared" si="43"/>
        <v>#VALUE!</v>
      </c>
      <c r="Z135" s="4" t="str">
        <f>IF(ISNA(VLOOKUP('Data input'!D135,$B$2:$E$200,4,FALSE)),"",VLOOKUP('Data input'!D135,$B$2:$E$200,4,FALSE))</f>
        <v/>
      </c>
      <c r="AA135" s="4" t="e">
        <f t="shared" si="41"/>
        <v>#VALUE!</v>
      </c>
      <c r="AB135">
        <f>'Data input'!N135</f>
        <v>0</v>
      </c>
      <c r="AC135">
        <f t="shared" si="44"/>
        <v>0</v>
      </c>
      <c r="AD135" s="4">
        <f t="shared" si="45"/>
        <v>0</v>
      </c>
      <c r="AE135" s="6">
        <f t="shared" si="46"/>
        <v>0</v>
      </c>
    </row>
    <row r="136" spans="1:31" x14ac:dyDescent="0.35">
      <c r="A136" t="str">
        <f>Lists!A$25</f>
        <v>Mixed_construction_and_demolition_wastes</v>
      </c>
      <c r="B136" t="s">
        <v>430</v>
      </c>
      <c r="C136" s="8" t="s">
        <v>439</v>
      </c>
      <c r="E136" s="139"/>
      <c r="H136" s="139"/>
      <c r="I136" s="139"/>
      <c r="O136" s="30">
        <f>'Data input'!A136</f>
        <v>134</v>
      </c>
      <c r="P136" s="11">
        <f>'Data input'!G136*('Data input'!H136/1000)</f>
        <v>0</v>
      </c>
      <c r="Q136" s="11">
        <f>'Data input'!G136*('Data input'!H136/1000)*('Data input'!I136/1000)</f>
        <v>0</v>
      </c>
      <c r="R136" s="11">
        <f>'Data input'!G136*('Data input'!H136/1000)*('Data input'!I136/1000)*('Data input'!J136/1000)</f>
        <v>0</v>
      </c>
      <c r="S136" s="11" t="str">
        <f>IF(ISNA(VLOOKUP('Data input'!D136,$B$2:$C$200,2,FALSE)),"",VLOOKUP('Data input'!D136,$B$2:$C$200,2,FALSE))</f>
        <v/>
      </c>
      <c r="T136" s="11" t="str">
        <f>IF(S136="m3",Costs!R136,IF(S136="Each",'Data input'!G136,IF(S136="m",Costs!P136,IF(S136="m2",Costs!Q136,""))))</f>
        <v/>
      </c>
      <c r="U136" s="4" t="str">
        <f>IF(ISNA(VLOOKUP('Data input'!D136,$B$2:$J$200,9,FALSE)),"",VLOOKUP('Data input'!D136,$B$2:$J$200,9,FALSE))</f>
        <v/>
      </c>
      <c r="V136" s="4" t="e">
        <f t="shared" si="42"/>
        <v>#VALUE!</v>
      </c>
      <c r="W136">
        <f>'Data input'!M136</f>
        <v>0</v>
      </c>
      <c r="X136" s="4">
        <f t="shared" si="40"/>
        <v>0</v>
      </c>
      <c r="Y136" s="4" t="e">
        <f t="shared" si="43"/>
        <v>#VALUE!</v>
      </c>
      <c r="Z136" s="4" t="str">
        <f>IF(ISNA(VLOOKUP('Data input'!D136,$B$2:$E$200,4,FALSE)),"",VLOOKUP('Data input'!D136,$B$2:$E$200,4,FALSE))</f>
        <v/>
      </c>
      <c r="AA136" s="4" t="e">
        <f t="shared" si="41"/>
        <v>#VALUE!</v>
      </c>
      <c r="AB136">
        <f>'Data input'!N136</f>
        <v>0</v>
      </c>
      <c r="AC136">
        <f t="shared" si="44"/>
        <v>0</v>
      </c>
      <c r="AD136" s="4">
        <f t="shared" si="45"/>
        <v>0</v>
      </c>
      <c r="AE136" s="6">
        <f t="shared" si="46"/>
        <v>0</v>
      </c>
    </row>
    <row r="137" spans="1:31" x14ac:dyDescent="0.35">
      <c r="A137" t="str">
        <f>Lists!A$25</f>
        <v>Mixed_construction_and_demolition_wastes</v>
      </c>
      <c r="B137" t="s">
        <v>451</v>
      </c>
      <c r="C137" s="8" t="s">
        <v>439</v>
      </c>
      <c r="E137" s="139"/>
      <c r="H137" s="139"/>
      <c r="I137" s="139"/>
      <c r="O137" s="30">
        <f>'Data input'!A137</f>
        <v>135</v>
      </c>
      <c r="P137" s="11">
        <f>'Data input'!G137*('Data input'!H137/1000)</f>
        <v>0</v>
      </c>
      <c r="Q137" s="11">
        <f>'Data input'!G137*('Data input'!H137/1000)*('Data input'!I137/1000)</f>
        <v>0</v>
      </c>
      <c r="R137" s="11">
        <f>'Data input'!G137*('Data input'!H137/1000)*('Data input'!I137/1000)*('Data input'!J137/1000)</f>
        <v>0</v>
      </c>
      <c r="S137" s="11" t="str">
        <f>IF(ISNA(VLOOKUP('Data input'!D137,$B$2:$C$200,2,FALSE)),"",VLOOKUP('Data input'!D137,$B$2:$C$200,2,FALSE))</f>
        <v/>
      </c>
      <c r="T137" s="11" t="str">
        <f>IF(S137="m3",Costs!R137,IF(S137="Each",'Data input'!G137,IF(S137="m",Costs!P137,IF(S137="m2",Costs!Q137,""))))</f>
        <v/>
      </c>
      <c r="U137" s="4" t="str">
        <f>IF(ISNA(VLOOKUP('Data input'!D137,$B$2:$J$200,9,FALSE)),"",VLOOKUP('Data input'!D137,$B$2:$J$200,9,FALSE))</f>
        <v/>
      </c>
      <c r="V137" s="4" t="e">
        <f t="shared" si="42"/>
        <v>#VALUE!</v>
      </c>
      <c r="W137">
        <f>'Data input'!M137</f>
        <v>0</v>
      </c>
      <c r="X137" s="4">
        <f t="shared" si="40"/>
        <v>0</v>
      </c>
      <c r="Y137" s="4" t="e">
        <f t="shared" si="43"/>
        <v>#VALUE!</v>
      </c>
      <c r="Z137" s="4" t="str">
        <f>IF(ISNA(VLOOKUP('Data input'!D137,$B$2:$E$200,4,FALSE)),"",VLOOKUP('Data input'!D137,$B$2:$E$200,4,FALSE))</f>
        <v/>
      </c>
      <c r="AA137" s="4" t="e">
        <f t="shared" si="41"/>
        <v>#VALUE!</v>
      </c>
      <c r="AB137">
        <f>'Data input'!N137</f>
        <v>0</v>
      </c>
      <c r="AC137">
        <f t="shared" si="44"/>
        <v>0</v>
      </c>
      <c r="AD137" s="4">
        <f t="shared" si="45"/>
        <v>0</v>
      </c>
      <c r="AE137" s="6">
        <f t="shared" si="46"/>
        <v>0</v>
      </c>
    </row>
    <row r="138" spans="1:31" x14ac:dyDescent="0.35">
      <c r="A138" t="str">
        <f>Lists!A$25</f>
        <v>Mixed_construction_and_demolition_wastes</v>
      </c>
      <c r="B138" t="s">
        <v>201</v>
      </c>
      <c r="C138" s="8" t="s">
        <v>439</v>
      </c>
      <c r="E138" s="139"/>
      <c r="H138" s="139"/>
      <c r="I138" s="139"/>
      <c r="O138" s="30">
        <f>'Data input'!A138</f>
        <v>136</v>
      </c>
      <c r="P138" s="11">
        <f>'Data input'!G138*('Data input'!H138/1000)</f>
        <v>0</v>
      </c>
      <c r="Q138" s="11">
        <f>'Data input'!G138*('Data input'!H138/1000)*('Data input'!I138/1000)</f>
        <v>0</v>
      </c>
      <c r="R138" s="11">
        <f>'Data input'!G138*('Data input'!H138/1000)*('Data input'!I138/1000)*('Data input'!J138/1000)</f>
        <v>0</v>
      </c>
      <c r="S138" s="11" t="str">
        <f>IF(ISNA(VLOOKUP('Data input'!D138,$B$2:$C$200,2,FALSE)),"",VLOOKUP('Data input'!D138,$B$2:$C$200,2,FALSE))</f>
        <v/>
      </c>
      <c r="T138" s="11" t="str">
        <f>IF(S138="m3",Costs!R138,IF(S138="Each",'Data input'!G138,IF(S138="m",Costs!P138,IF(S138="m2",Costs!Q138,""))))</f>
        <v/>
      </c>
      <c r="U138" s="4" t="str">
        <f>IF(ISNA(VLOOKUP('Data input'!D138,$B$2:$J$200,9,FALSE)),"",VLOOKUP('Data input'!D138,$B$2:$J$200,9,FALSE))</f>
        <v/>
      </c>
      <c r="V138" s="4" t="e">
        <f t="shared" si="42"/>
        <v>#VALUE!</v>
      </c>
      <c r="W138">
        <f>'Data input'!M138</f>
        <v>0</v>
      </c>
      <c r="X138" s="4">
        <f t="shared" si="40"/>
        <v>0</v>
      </c>
      <c r="Y138" s="4" t="e">
        <f t="shared" si="43"/>
        <v>#VALUE!</v>
      </c>
      <c r="Z138" s="4" t="str">
        <f>IF(ISNA(VLOOKUP('Data input'!D138,$B$2:$E$200,4,FALSE)),"",VLOOKUP('Data input'!D138,$B$2:$E$200,4,FALSE))</f>
        <v/>
      </c>
      <c r="AA138" s="4" t="e">
        <f t="shared" si="41"/>
        <v>#VALUE!</v>
      </c>
      <c r="AB138">
        <f>'Data input'!N138</f>
        <v>0</v>
      </c>
      <c r="AC138">
        <f t="shared" si="44"/>
        <v>0</v>
      </c>
      <c r="AD138" s="4">
        <f t="shared" si="45"/>
        <v>0</v>
      </c>
      <c r="AE138" s="6">
        <f t="shared" si="46"/>
        <v>0</v>
      </c>
    </row>
    <row r="139" spans="1:31" x14ac:dyDescent="0.35">
      <c r="A139" t="str">
        <f>Lists!A$25</f>
        <v>Mixed_construction_and_demolition_wastes</v>
      </c>
      <c r="B139" t="s">
        <v>207</v>
      </c>
      <c r="C139" s="8" t="s">
        <v>439</v>
      </c>
      <c r="E139" s="139"/>
      <c r="H139" s="139"/>
      <c r="I139" s="139"/>
      <c r="O139" s="30">
        <f>'Data input'!A139</f>
        <v>137</v>
      </c>
      <c r="P139" s="11">
        <f>'Data input'!G139*('Data input'!H139/1000)</f>
        <v>0</v>
      </c>
      <c r="Q139" s="11">
        <f>'Data input'!G139*('Data input'!H139/1000)*('Data input'!I139/1000)</f>
        <v>0</v>
      </c>
      <c r="R139" s="11">
        <f>'Data input'!G139*('Data input'!H139/1000)*('Data input'!I139/1000)*('Data input'!J139/1000)</f>
        <v>0</v>
      </c>
      <c r="S139" s="11" t="str">
        <f>IF(ISNA(VLOOKUP('Data input'!D139,$B$2:$C$200,2,FALSE)),"",VLOOKUP('Data input'!D139,$B$2:$C$200,2,FALSE))</f>
        <v/>
      </c>
      <c r="T139" s="11" t="str">
        <f>IF(S139="m3",Costs!R139,IF(S139="Each",'Data input'!G139,IF(S139="m",Costs!P139,IF(S139="m2",Costs!Q139,""))))</f>
        <v/>
      </c>
      <c r="U139" s="4" t="str">
        <f>IF(ISNA(VLOOKUP('Data input'!D139,$B$2:$J$200,9,FALSE)),"",VLOOKUP('Data input'!D139,$B$2:$J$200,9,FALSE))</f>
        <v/>
      </c>
      <c r="V139" s="4" t="e">
        <f t="shared" si="42"/>
        <v>#VALUE!</v>
      </c>
      <c r="W139">
        <f>'Data input'!M139</f>
        <v>0</v>
      </c>
      <c r="X139" s="4">
        <f t="shared" si="40"/>
        <v>0</v>
      </c>
      <c r="Y139" s="4" t="e">
        <f t="shared" si="43"/>
        <v>#VALUE!</v>
      </c>
      <c r="Z139" s="4" t="str">
        <f>IF(ISNA(VLOOKUP('Data input'!D139,$B$2:$E$200,4,FALSE)),"",VLOOKUP('Data input'!D139,$B$2:$E$200,4,FALSE))</f>
        <v/>
      </c>
      <c r="AA139" s="4" t="e">
        <f t="shared" si="41"/>
        <v>#VALUE!</v>
      </c>
      <c r="AB139">
        <f>'Data input'!N139</f>
        <v>0</v>
      </c>
      <c r="AC139">
        <f t="shared" si="44"/>
        <v>0</v>
      </c>
      <c r="AD139" s="4">
        <f t="shared" si="45"/>
        <v>0</v>
      </c>
      <c r="AE139" s="6">
        <f t="shared" si="46"/>
        <v>0</v>
      </c>
    </row>
    <row r="140" spans="1:31" x14ac:dyDescent="0.35">
      <c r="A140" t="str">
        <f>Lists!A$25</f>
        <v>Mixed_construction_and_demolition_wastes</v>
      </c>
      <c r="B140" t="s">
        <v>452</v>
      </c>
      <c r="C140" s="8" t="s">
        <v>439</v>
      </c>
      <c r="E140" s="139"/>
      <c r="H140" s="139"/>
      <c r="I140" s="139"/>
      <c r="O140" s="30">
        <f>'Data input'!A140</f>
        <v>138</v>
      </c>
      <c r="P140" s="11">
        <f>'Data input'!G140*('Data input'!H140/1000)</f>
        <v>0</v>
      </c>
      <c r="Q140" s="11">
        <f>'Data input'!G140*('Data input'!H140/1000)*('Data input'!I140/1000)</f>
        <v>0</v>
      </c>
      <c r="R140" s="11">
        <f>'Data input'!G140*('Data input'!H140/1000)*('Data input'!I140/1000)*('Data input'!J140/1000)</f>
        <v>0</v>
      </c>
      <c r="S140" s="11" t="str">
        <f>IF(ISNA(VLOOKUP('Data input'!D140,$B$2:$C$200,2,FALSE)),"",VLOOKUP('Data input'!D140,$B$2:$C$200,2,FALSE))</f>
        <v/>
      </c>
      <c r="T140" s="11" t="str">
        <f>IF(S140="m3",Costs!R140,IF(S140="Each",'Data input'!G140,IF(S140="m",Costs!P140,IF(S140="m2",Costs!Q140,""))))</f>
        <v/>
      </c>
      <c r="U140" s="4" t="str">
        <f>IF(ISNA(VLOOKUP('Data input'!D140,$B$2:$J$200,9,FALSE)),"",VLOOKUP('Data input'!D140,$B$2:$J$200,9,FALSE))</f>
        <v/>
      </c>
      <c r="V140" s="4" t="e">
        <f t="shared" si="42"/>
        <v>#VALUE!</v>
      </c>
      <c r="W140">
        <f>'Data input'!M140</f>
        <v>0</v>
      </c>
      <c r="X140" s="4">
        <f t="shared" si="40"/>
        <v>0</v>
      </c>
      <c r="Y140" s="4" t="e">
        <f t="shared" si="43"/>
        <v>#VALUE!</v>
      </c>
      <c r="Z140" s="4" t="str">
        <f>IF(ISNA(VLOOKUP('Data input'!D140,$B$2:$E$200,4,FALSE)),"",VLOOKUP('Data input'!D140,$B$2:$E$200,4,FALSE))</f>
        <v/>
      </c>
      <c r="AA140" s="4" t="e">
        <f t="shared" si="41"/>
        <v>#VALUE!</v>
      </c>
      <c r="AB140">
        <f>'Data input'!N140</f>
        <v>0</v>
      </c>
      <c r="AC140">
        <f t="shared" si="44"/>
        <v>0</v>
      </c>
      <c r="AD140" s="4">
        <f t="shared" si="45"/>
        <v>0</v>
      </c>
      <c r="AE140" s="6">
        <f t="shared" si="46"/>
        <v>0</v>
      </c>
    </row>
    <row r="141" spans="1:31" x14ac:dyDescent="0.35">
      <c r="A141" t="str">
        <f>Lists!A$25</f>
        <v>Mixed_construction_and_demolition_wastes</v>
      </c>
      <c r="B141" t="s">
        <v>219</v>
      </c>
      <c r="C141" s="8" t="s">
        <v>439</v>
      </c>
      <c r="E141" s="139"/>
      <c r="H141" s="139"/>
      <c r="I141" s="139"/>
      <c r="O141" s="30">
        <f>'Data input'!A141</f>
        <v>139</v>
      </c>
      <c r="P141" s="11">
        <f>'Data input'!G141*('Data input'!H141/1000)</f>
        <v>0</v>
      </c>
      <c r="Q141" s="11">
        <f>'Data input'!G141*('Data input'!H141/1000)*('Data input'!I141/1000)</f>
        <v>0</v>
      </c>
      <c r="R141" s="11">
        <f>'Data input'!G141*('Data input'!H141/1000)*('Data input'!I141/1000)*('Data input'!J141/1000)</f>
        <v>0</v>
      </c>
      <c r="S141" s="11" t="str">
        <f>IF(ISNA(VLOOKUP('Data input'!D141,$B$2:$C$200,2,FALSE)),"",VLOOKUP('Data input'!D141,$B$2:$C$200,2,FALSE))</f>
        <v/>
      </c>
      <c r="T141" s="11" t="str">
        <f>IF(S141="m3",Costs!R141,IF(S141="Each",'Data input'!G141,IF(S141="m",Costs!P141,IF(S141="m2",Costs!Q141,""))))</f>
        <v/>
      </c>
      <c r="U141" s="4" t="str">
        <f>IF(ISNA(VLOOKUP('Data input'!D141,$B$2:$J$200,9,FALSE)),"",VLOOKUP('Data input'!D141,$B$2:$J$200,9,FALSE))</f>
        <v/>
      </c>
      <c r="V141" s="4" t="e">
        <f t="shared" si="42"/>
        <v>#VALUE!</v>
      </c>
      <c r="W141">
        <f>'Data input'!M141</f>
        <v>0</v>
      </c>
      <c r="X141" s="4">
        <f t="shared" si="40"/>
        <v>0</v>
      </c>
      <c r="Y141" s="4" t="e">
        <f t="shared" si="43"/>
        <v>#VALUE!</v>
      </c>
      <c r="Z141" s="4" t="str">
        <f>IF(ISNA(VLOOKUP('Data input'!D141,$B$2:$E$200,4,FALSE)),"",VLOOKUP('Data input'!D141,$B$2:$E$200,4,FALSE))</f>
        <v/>
      </c>
      <c r="AA141" s="4" t="e">
        <f t="shared" si="41"/>
        <v>#VALUE!</v>
      </c>
      <c r="AB141">
        <f>'Data input'!N141</f>
        <v>0</v>
      </c>
      <c r="AC141">
        <f t="shared" si="44"/>
        <v>0</v>
      </c>
      <c r="AD141" s="4">
        <f t="shared" si="45"/>
        <v>0</v>
      </c>
      <c r="AE141" s="6">
        <f t="shared" si="46"/>
        <v>0</v>
      </c>
    </row>
    <row r="142" spans="1:31" x14ac:dyDescent="0.35">
      <c r="A142" t="str">
        <f>Lists!A$25</f>
        <v>Mixed_construction_and_demolition_wastes</v>
      </c>
      <c r="B142" t="s">
        <v>437</v>
      </c>
      <c r="C142" s="8" t="s">
        <v>439</v>
      </c>
      <c r="E142" s="139"/>
      <c r="H142" s="139"/>
      <c r="I142" s="139"/>
      <c r="O142" s="30">
        <f>'Data input'!A142</f>
        <v>140</v>
      </c>
      <c r="P142" s="11">
        <f>'Data input'!G142*('Data input'!H142/1000)</f>
        <v>0</v>
      </c>
      <c r="Q142" s="11">
        <f>'Data input'!G142*('Data input'!H142/1000)*('Data input'!I142/1000)</f>
        <v>0</v>
      </c>
      <c r="R142" s="11">
        <f>'Data input'!G142*('Data input'!H142/1000)*('Data input'!I142/1000)*('Data input'!J142/1000)</f>
        <v>0</v>
      </c>
      <c r="S142" s="11" t="str">
        <f>IF(ISNA(VLOOKUP('Data input'!D142,$B$2:$C$200,2,FALSE)),"",VLOOKUP('Data input'!D142,$B$2:$C$200,2,FALSE))</f>
        <v/>
      </c>
      <c r="T142" s="11" t="str">
        <f>IF(S142="m3",Costs!R142,IF(S142="Each",'Data input'!G142,IF(S142="m",Costs!P142,IF(S142="m2",Costs!Q142,""))))</f>
        <v/>
      </c>
      <c r="U142" s="4" t="str">
        <f>IF(ISNA(VLOOKUP('Data input'!D142,$B$2:$J$200,9,FALSE)),"",VLOOKUP('Data input'!D142,$B$2:$J$200,9,FALSE))</f>
        <v/>
      </c>
      <c r="V142" s="4" t="e">
        <f t="shared" si="42"/>
        <v>#VALUE!</v>
      </c>
      <c r="W142">
        <f>'Data input'!M142</f>
        <v>0</v>
      </c>
      <c r="X142" s="4">
        <f t="shared" si="40"/>
        <v>0</v>
      </c>
      <c r="Y142" s="4" t="e">
        <f t="shared" si="43"/>
        <v>#VALUE!</v>
      </c>
      <c r="Z142" s="4" t="str">
        <f>IF(ISNA(VLOOKUP('Data input'!D142,$B$2:$E$200,4,FALSE)),"",VLOOKUP('Data input'!D142,$B$2:$E$200,4,FALSE))</f>
        <v/>
      </c>
      <c r="AA142" s="4" t="e">
        <f t="shared" si="41"/>
        <v>#VALUE!</v>
      </c>
      <c r="AB142">
        <f>'Data input'!N142</f>
        <v>0</v>
      </c>
      <c r="AC142">
        <f t="shared" si="44"/>
        <v>0</v>
      </c>
      <c r="AD142" s="4">
        <f t="shared" si="45"/>
        <v>0</v>
      </c>
      <c r="AE142" s="6">
        <f t="shared" si="46"/>
        <v>0</v>
      </c>
    </row>
    <row r="143" spans="1:31" x14ac:dyDescent="0.35">
      <c r="A143" t="str">
        <f>Lists!A$25</f>
        <v>Mixed_construction_and_demolition_wastes</v>
      </c>
      <c r="B143" t="s">
        <v>230</v>
      </c>
      <c r="C143" s="8" t="s">
        <v>439</v>
      </c>
      <c r="E143" s="139"/>
      <c r="H143" s="139"/>
      <c r="I143" s="139"/>
      <c r="O143" s="30">
        <f>'Data input'!A143</f>
        <v>141</v>
      </c>
      <c r="P143" s="11">
        <f>'Data input'!G143*('Data input'!H143/1000)</f>
        <v>0</v>
      </c>
      <c r="Q143" s="11">
        <f>'Data input'!G143*('Data input'!H143/1000)*('Data input'!I143/1000)</f>
        <v>0</v>
      </c>
      <c r="R143" s="11">
        <f>'Data input'!G143*('Data input'!H143/1000)*('Data input'!I143/1000)*('Data input'!J143/1000)</f>
        <v>0</v>
      </c>
      <c r="S143" s="11" t="str">
        <f>IF(ISNA(VLOOKUP('Data input'!D143,$B$2:$C$200,2,FALSE)),"",VLOOKUP('Data input'!D143,$B$2:$C$200,2,FALSE))</f>
        <v/>
      </c>
      <c r="T143" s="11" t="str">
        <f>IF(S143="m3",Costs!R143,IF(S143="Each",'Data input'!G143,IF(S143="m",Costs!P143,IF(S143="m2",Costs!Q143,""))))</f>
        <v/>
      </c>
      <c r="U143" s="4" t="str">
        <f>IF(ISNA(VLOOKUP('Data input'!D143,$B$2:$J$200,9,FALSE)),"",VLOOKUP('Data input'!D143,$B$2:$J$200,9,FALSE))</f>
        <v/>
      </c>
      <c r="V143" s="4" t="e">
        <f t="shared" si="42"/>
        <v>#VALUE!</v>
      </c>
      <c r="W143">
        <f>'Data input'!M143</f>
        <v>0</v>
      </c>
      <c r="X143" s="4">
        <f t="shared" si="40"/>
        <v>0</v>
      </c>
      <c r="Y143" s="4" t="e">
        <f t="shared" si="43"/>
        <v>#VALUE!</v>
      </c>
      <c r="Z143" s="4" t="str">
        <f>IF(ISNA(VLOOKUP('Data input'!D143,$B$2:$E$200,4,FALSE)),"",VLOOKUP('Data input'!D143,$B$2:$E$200,4,FALSE))</f>
        <v/>
      </c>
      <c r="AA143" s="4" t="e">
        <f t="shared" si="41"/>
        <v>#VALUE!</v>
      </c>
      <c r="AB143">
        <f>'Data input'!N143</f>
        <v>0</v>
      </c>
      <c r="AC143">
        <f t="shared" si="44"/>
        <v>0</v>
      </c>
      <c r="AD143" s="4">
        <f t="shared" si="45"/>
        <v>0</v>
      </c>
      <c r="AE143" s="6">
        <f t="shared" si="46"/>
        <v>0</v>
      </c>
    </row>
    <row r="144" spans="1:31" x14ac:dyDescent="0.35">
      <c r="A144" t="str">
        <f>Lists!A$25</f>
        <v>Mixed_construction_and_demolition_wastes</v>
      </c>
      <c r="B144" t="s">
        <v>438</v>
      </c>
      <c r="C144" s="8" t="s">
        <v>439</v>
      </c>
      <c r="E144" s="139"/>
      <c r="H144" s="139"/>
      <c r="I144" s="139"/>
      <c r="O144" s="30">
        <f>'Data input'!A144</f>
        <v>142</v>
      </c>
      <c r="P144" s="11">
        <f>'Data input'!G144*('Data input'!H144/1000)</f>
        <v>0</v>
      </c>
      <c r="Q144" s="11">
        <f>'Data input'!G144*('Data input'!H144/1000)*('Data input'!I144/1000)</f>
        <v>0</v>
      </c>
      <c r="R144" s="11">
        <f>'Data input'!G144*('Data input'!H144/1000)*('Data input'!I144/1000)*('Data input'!J144/1000)</f>
        <v>0</v>
      </c>
      <c r="S144" s="11" t="str">
        <f>IF(ISNA(VLOOKUP('Data input'!D144,$B$2:$C$200,2,FALSE)),"",VLOOKUP('Data input'!D144,$B$2:$C$200,2,FALSE))</f>
        <v/>
      </c>
      <c r="T144" s="11" t="str">
        <f>IF(S144="m3",Costs!R144,IF(S144="Each",'Data input'!G144,IF(S144="m",Costs!P144,IF(S144="m2",Costs!Q144,""))))</f>
        <v/>
      </c>
      <c r="U144" s="4" t="str">
        <f>IF(ISNA(VLOOKUP('Data input'!D144,$B$2:$J$200,9,FALSE)),"",VLOOKUP('Data input'!D144,$B$2:$J$200,9,FALSE))</f>
        <v/>
      </c>
      <c r="V144" s="4" t="e">
        <f t="shared" si="42"/>
        <v>#VALUE!</v>
      </c>
      <c r="W144">
        <f>'Data input'!M144</f>
        <v>0</v>
      </c>
      <c r="X144" s="4">
        <f t="shared" si="40"/>
        <v>0</v>
      </c>
      <c r="Y144" s="4" t="e">
        <f t="shared" si="43"/>
        <v>#VALUE!</v>
      </c>
      <c r="Z144" s="4" t="str">
        <f>IF(ISNA(VLOOKUP('Data input'!D144,$B$2:$E$200,4,FALSE)),"",VLOOKUP('Data input'!D144,$B$2:$E$200,4,FALSE))</f>
        <v/>
      </c>
      <c r="AA144" s="4" t="e">
        <f t="shared" si="41"/>
        <v>#VALUE!</v>
      </c>
      <c r="AB144">
        <f>'Data input'!N144</f>
        <v>0</v>
      </c>
      <c r="AC144">
        <f t="shared" si="44"/>
        <v>0</v>
      </c>
      <c r="AD144" s="4">
        <f t="shared" si="45"/>
        <v>0</v>
      </c>
      <c r="AE144" s="6">
        <f t="shared" si="46"/>
        <v>0</v>
      </c>
    </row>
    <row r="145" spans="1:31" x14ac:dyDescent="0.35">
      <c r="A145" t="str">
        <f>Lists!A$25</f>
        <v>Mixed_construction_and_demolition_wastes</v>
      </c>
      <c r="B145" t="s">
        <v>440</v>
      </c>
      <c r="C145" s="8" t="s">
        <v>439</v>
      </c>
      <c r="E145" s="139"/>
      <c r="H145" s="139"/>
      <c r="I145" s="139"/>
      <c r="O145" s="30">
        <f>'Data input'!A145</f>
        <v>143</v>
      </c>
      <c r="P145" s="11">
        <f>'Data input'!G145*('Data input'!H145/1000)</f>
        <v>0</v>
      </c>
      <c r="Q145" s="11">
        <f>'Data input'!G145*('Data input'!H145/1000)*('Data input'!I145/1000)</f>
        <v>0</v>
      </c>
      <c r="R145" s="11">
        <f>'Data input'!G145*('Data input'!H145/1000)*('Data input'!I145/1000)*('Data input'!J145/1000)</f>
        <v>0</v>
      </c>
      <c r="S145" s="11" t="str">
        <f>IF(ISNA(VLOOKUP('Data input'!D145,$B$2:$C$200,2,FALSE)),"",VLOOKUP('Data input'!D145,$B$2:$C$200,2,FALSE))</f>
        <v/>
      </c>
      <c r="T145" s="11" t="str">
        <f>IF(S145="m3",Costs!R145,IF(S145="Each",'Data input'!G145,IF(S145="m",Costs!P145,IF(S145="m2",Costs!Q145,""))))</f>
        <v/>
      </c>
      <c r="U145" s="4" t="str">
        <f>IF(ISNA(VLOOKUP('Data input'!D145,$B$2:$J$200,9,FALSE)),"",VLOOKUP('Data input'!D145,$B$2:$J$200,9,FALSE))</f>
        <v/>
      </c>
      <c r="V145" s="4" t="e">
        <f t="shared" si="42"/>
        <v>#VALUE!</v>
      </c>
      <c r="W145">
        <f>'Data input'!M145</f>
        <v>0</v>
      </c>
      <c r="X145" s="4">
        <f t="shared" si="40"/>
        <v>0</v>
      </c>
      <c r="Y145" s="4" t="e">
        <f t="shared" si="43"/>
        <v>#VALUE!</v>
      </c>
      <c r="Z145" s="4" t="str">
        <f>IF(ISNA(VLOOKUP('Data input'!D145,$B$2:$E$200,4,FALSE)),"",VLOOKUP('Data input'!D145,$B$2:$E$200,4,FALSE))</f>
        <v/>
      </c>
      <c r="AA145" s="4" t="e">
        <f t="shared" si="41"/>
        <v>#VALUE!</v>
      </c>
      <c r="AB145">
        <f>'Data input'!N145</f>
        <v>0</v>
      </c>
      <c r="AC145">
        <f t="shared" si="44"/>
        <v>0</v>
      </c>
      <c r="AD145" s="4">
        <f t="shared" si="45"/>
        <v>0</v>
      </c>
      <c r="AE145" s="6">
        <f t="shared" si="46"/>
        <v>0</v>
      </c>
    </row>
    <row r="146" spans="1:31" x14ac:dyDescent="0.35">
      <c r="A146" t="str">
        <f>Lists!A$25</f>
        <v>Mixed_construction_and_demolition_wastes</v>
      </c>
      <c r="B146" t="s">
        <v>453</v>
      </c>
      <c r="C146" s="8" t="s">
        <v>439</v>
      </c>
      <c r="E146" s="139"/>
      <c r="H146" s="139"/>
      <c r="I146" s="139"/>
      <c r="O146" s="30">
        <f>'Data input'!A146</f>
        <v>144</v>
      </c>
      <c r="P146" s="11">
        <f>'Data input'!G146*('Data input'!H146/1000)</f>
        <v>0</v>
      </c>
      <c r="Q146" s="11">
        <f>'Data input'!G146*('Data input'!H146/1000)*('Data input'!I146/1000)</f>
        <v>0</v>
      </c>
      <c r="R146" s="11">
        <f>'Data input'!G146*('Data input'!H146/1000)*('Data input'!I146/1000)*('Data input'!J146/1000)</f>
        <v>0</v>
      </c>
      <c r="S146" s="11" t="str">
        <f>IF(ISNA(VLOOKUP('Data input'!D146,$B$2:$C$200,2,FALSE)),"",VLOOKUP('Data input'!D146,$B$2:$C$200,2,FALSE))</f>
        <v/>
      </c>
      <c r="T146" s="11" t="str">
        <f>IF(S146="m3",Costs!R146,IF(S146="Each",'Data input'!G146,IF(S146="m",Costs!P146,IF(S146="m2",Costs!Q146,""))))</f>
        <v/>
      </c>
      <c r="U146" s="4" t="str">
        <f>IF(ISNA(VLOOKUP('Data input'!D146,$B$2:$J$200,9,FALSE)),"",VLOOKUP('Data input'!D146,$B$2:$J$200,9,FALSE))</f>
        <v/>
      </c>
      <c r="V146" s="4" t="e">
        <f t="shared" si="42"/>
        <v>#VALUE!</v>
      </c>
      <c r="W146">
        <f>'Data input'!M146</f>
        <v>0</v>
      </c>
      <c r="X146" s="4">
        <f t="shared" si="40"/>
        <v>0</v>
      </c>
      <c r="Y146" s="4" t="e">
        <f t="shared" si="43"/>
        <v>#VALUE!</v>
      </c>
      <c r="Z146" s="4" t="str">
        <f>IF(ISNA(VLOOKUP('Data input'!D146,$B$2:$E$200,4,FALSE)),"",VLOOKUP('Data input'!D146,$B$2:$E$200,4,FALSE))</f>
        <v/>
      </c>
      <c r="AA146" s="4" t="e">
        <f t="shared" si="41"/>
        <v>#VALUE!</v>
      </c>
      <c r="AB146">
        <f>'Data input'!N146</f>
        <v>0</v>
      </c>
      <c r="AC146">
        <f t="shared" si="44"/>
        <v>0</v>
      </c>
      <c r="AD146" s="4">
        <f t="shared" si="45"/>
        <v>0</v>
      </c>
      <c r="AE146" s="6">
        <f t="shared" si="46"/>
        <v>0</v>
      </c>
    </row>
    <row r="147" spans="1:31" x14ac:dyDescent="0.35">
      <c r="A147" t="str">
        <f>Lists!A$25</f>
        <v>Mixed_construction_and_demolition_wastes</v>
      </c>
      <c r="B147" t="s">
        <v>454</v>
      </c>
      <c r="C147" s="8" t="s">
        <v>439</v>
      </c>
      <c r="E147" s="139"/>
      <c r="H147" s="139"/>
      <c r="I147" s="139"/>
      <c r="O147" s="30">
        <f>'Data input'!A147</f>
        <v>145</v>
      </c>
      <c r="P147" s="11">
        <f>'Data input'!G147*('Data input'!H147/1000)</f>
        <v>0</v>
      </c>
      <c r="Q147" s="11">
        <f>'Data input'!G147*('Data input'!H147/1000)*('Data input'!I147/1000)</f>
        <v>0</v>
      </c>
      <c r="R147" s="11">
        <f>'Data input'!G147*('Data input'!H147/1000)*('Data input'!I147/1000)*('Data input'!J147/1000)</f>
        <v>0</v>
      </c>
      <c r="S147" s="11" t="str">
        <f>IF(ISNA(VLOOKUP('Data input'!D147,$B$2:$C$200,2,FALSE)),"",VLOOKUP('Data input'!D147,$B$2:$C$200,2,FALSE))</f>
        <v/>
      </c>
      <c r="T147" s="11" t="str">
        <f>IF(S147="m3",Costs!R147,IF(S147="Each",'Data input'!G147,IF(S147="m",Costs!P147,IF(S147="m2",Costs!Q147,""))))</f>
        <v/>
      </c>
      <c r="U147" s="4" t="str">
        <f>IF(ISNA(VLOOKUP('Data input'!D147,$B$2:$J$200,9,FALSE)),"",VLOOKUP('Data input'!D147,$B$2:$J$200,9,FALSE))</f>
        <v/>
      </c>
      <c r="V147" s="4" t="e">
        <f t="shared" si="42"/>
        <v>#VALUE!</v>
      </c>
      <c r="W147">
        <f>'Data input'!M147</f>
        <v>0</v>
      </c>
      <c r="X147" s="4">
        <f t="shared" si="40"/>
        <v>0</v>
      </c>
      <c r="Y147" s="4" t="e">
        <f t="shared" si="43"/>
        <v>#VALUE!</v>
      </c>
      <c r="Z147" s="4" t="str">
        <f>IF(ISNA(VLOOKUP('Data input'!D147,$B$2:$E$200,4,FALSE)),"",VLOOKUP('Data input'!D147,$B$2:$E$200,4,FALSE))</f>
        <v/>
      </c>
      <c r="AA147" s="4" t="e">
        <f t="shared" si="41"/>
        <v>#VALUE!</v>
      </c>
      <c r="AB147">
        <f>'Data input'!N147</f>
        <v>0</v>
      </c>
      <c r="AC147">
        <f t="shared" si="44"/>
        <v>0</v>
      </c>
      <c r="AD147" s="4">
        <f t="shared" si="45"/>
        <v>0</v>
      </c>
      <c r="AE147" s="6">
        <f t="shared" si="46"/>
        <v>0</v>
      </c>
    </row>
    <row r="148" spans="1:31" x14ac:dyDescent="0.35">
      <c r="E148" s="139"/>
      <c r="H148" s="139"/>
      <c r="I148" s="139"/>
      <c r="O148" s="30">
        <f>'Data input'!A148</f>
        <v>146</v>
      </c>
      <c r="P148" s="11">
        <f>'Data input'!G148*('Data input'!H148/1000)</f>
        <v>0</v>
      </c>
      <c r="Q148" s="11">
        <f>'Data input'!G148*('Data input'!H148/1000)*('Data input'!I148/1000)</f>
        <v>0</v>
      </c>
      <c r="R148" s="11">
        <f>'Data input'!G148*('Data input'!H148/1000)*('Data input'!I148/1000)*('Data input'!J148/1000)</f>
        <v>0</v>
      </c>
      <c r="S148" s="11" t="str">
        <f>IF(ISNA(VLOOKUP('Data input'!D148,$B$2:$C$200,2,FALSE)),"",VLOOKUP('Data input'!D148,$B$2:$C$200,2,FALSE))</f>
        <v/>
      </c>
      <c r="T148" s="11" t="str">
        <f>IF(S148="m3",Costs!R148,IF(S148="Each",'Data input'!G148,IF(S148="m",Costs!P148,IF(S148="m2",Costs!Q148,""))))</f>
        <v/>
      </c>
      <c r="U148" s="4" t="str">
        <f>IF(ISNA(VLOOKUP('Data input'!D148,$B$2:$J$200,9,FALSE)),"",VLOOKUP('Data input'!D148,$B$2:$J$200,9,FALSE))</f>
        <v/>
      </c>
      <c r="V148" s="4" t="e">
        <f t="shared" si="42"/>
        <v>#VALUE!</v>
      </c>
      <c r="W148">
        <f>'Data input'!M148</f>
        <v>0</v>
      </c>
      <c r="X148" s="4">
        <f t="shared" si="40"/>
        <v>0</v>
      </c>
      <c r="Y148" s="4" t="e">
        <f t="shared" si="43"/>
        <v>#VALUE!</v>
      </c>
      <c r="Z148" s="4" t="str">
        <f>IF(ISNA(VLOOKUP('Data input'!D148,$B$2:$E$200,4,FALSE)),"",VLOOKUP('Data input'!D148,$B$2:$E$200,4,FALSE))</f>
        <v/>
      </c>
      <c r="AA148" s="4" t="e">
        <f t="shared" si="41"/>
        <v>#VALUE!</v>
      </c>
      <c r="AB148">
        <f>'Data input'!N148</f>
        <v>0</v>
      </c>
      <c r="AC148">
        <f t="shared" si="44"/>
        <v>0</v>
      </c>
      <c r="AD148" s="4">
        <f t="shared" si="45"/>
        <v>0</v>
      </c>
      <c r="AE148" s="6">
        <f t="shared" si="46"/>
        <v>0</v>
      </c>
    </row>
    <row r="149" spans="1:31" x14ac:dyDescent="0.35">
      <c r="A149" t="str">
        <f>Lists!A$26</f>
        <v>Paints_and_varnishes_Containing_organic_solvents_or_other_hazardous_substances</v>
      </c>
      <c r="B149" t="s">
        <v>455</v>
      </c>
      <c r="C149" s="8" t="s">
        <v>372</v>
      </c>
      <c r="D149" s="23"/>
      <c r="E149" s="136">
        <f>AVERAGE(E150:E151)</f>
        <v>4954</v>
      </c>
      <c r="F149" s="14">
        <f>SUMIF('Data input'!D$3:D$202,B149,$R$3:$R$202)</f>
        <v>0</v>
      </c>
      <c r="G149" s="4">
        <f>E149*F149</f>
        <v>0</v>
      </c>
      <c r="H149" s="136">
        <v>13.49339393939394</v>
      </c>
      <c r="I149" s="136"/>
      <c r="J149" s="6">
        <f t="shared" ref="J149:J173" si="47">H149+I149</f>
        <v>13.49339393939394</v>
      </c>
      <c r="K149" s="6">
        <f t="shared" ref="K149:K154" si="48">F149*J149</f>
        <v>0</v>
      </c>
      <c r="L149" s="4">
        <f>SUMIF('Data input'!$D$3:$D$202,B149,$X$3:$X$202)</f>
        <v>0</v>
      </c>
      <c r="M149" s="4">
        <f>SUMIF('Data input'!$D$3:$D$202,B149,$AC$3:$AC$202)</f>
        <v>0</v>
      </c>
      <c r="N149" s="67">
        <f>SUMIF('Data input'!$D$3:$D$202,B149,$AD$3:$AD$202)</f>
        <v>0</v>
      </c>
      <c r="O149" s="30">
        <f>'Data input'!A149</f>
        <v>147</v>
      </c>
      <c r="P149" s="11">
        <f>'Data input'!G149*('Data input'!H149/1000)</f>
        <v>0</v>
      </c>
      <c r="Q149" s="11">
        <f>'Data input'!G149*('Data input'!H149/1000)*('Data input'!I149/1000)</f>
        <v>0</v>
      </c>
      <c r="R149" s="11">
        <f>'Data input'!G149*('Data input'!H149/1000)*('Data input'!I149/1000)*('Data input'!J149/1000)</f>
        <v>0</v>
      </c>
      <c r="S149" s="11" t="str">
        <f>IF(ISNA(VLOOKUP('Data input'!D149,$B$2:$C$200,2,FALSE)),"",VLOOKUP('Data input'!D149,$B$2:$C$200,2,FALSE))</f>
        <v/>
      </c>
      <c r="T149" s="11" t="str">
        <f>IF(S149="m3",Costs!R149,IF(S149="Each",'Data input'!G149,IF(S149="m",Costs!P149,IF(S149="m2",Costs!Q149,""))))</f>
        <v/>
      </c>
      <c r="U149" s="4" t="str">
        <f>IF(ISNA(VLOOKUP('Data input'!D149,$B$2:$J$200,9,FALSE)),"",VLOOKUP('Data input'!D149,$B$2:$J$200,9,FALSE))</f>
        <v/>
      </c>
      <c r="V149" s="4" t="e">
        <f t="shared" si="42"/>
        <v>#VALUE!</v>
      </c>
      <c r="W149">
        <f>'Data input'!M149</f>
        <v>0</v>
      </c>
      <c r="X149" s="4">
        <f t="shared" si="40"/>
        <v>0</v>
      </c>
      <c r="Y149" s="4" t="e">
        <f t="shared" si="43"/>
        <v>#VALUE!</v>
      </c>
      <c r="Z149" s="4" t="str">
        <f>IF(ISNA(VLOOKUP('Data input'!D149,$B$2:$E$200,4,FALSE)),"",VLOOKUP('Data input'!D149,$B$2:$E$200,4,FALSE))</f>
        <v/>
      </c>
      <c r="AA149" s="4" t="e">
        <f t="shared" si="41"/>
        <v>#VALUE!</v>
      </c>
      <c r="AB149">
        <f>'Data input'!N149</f>
        <v>0</v>
      </c>
      <c r="AC149">
        <f t="shared" si="44"/>
        <v>0</v>
      </c>
      <c r="AD149" s="4">
        <f t="shared" si="45"/>
        <v>0</v>
      </c>
      <c r="AE149" s="6">
        <f t="shared" si="46"/>
        <v>0</v>
      </c>
    </row>
    <row r="150" spans="1:31" x14ac:dyDescent="0.35">
      <c r="A150" t="str">
        <f>Lists!A$26</f>
        <v>Paints_and_varnishes_Containing_organic_solvents_or_other_hazardous_substances</v>
      </c>
      <c r="B150" t="s">
        <v>456</v>
      </c>
      <c r="C150" s="8" t="s">
        <v>372</v>
      </c>
      <c r="D150" s="23"/>
      <c r="E150" s="136">
        <v>1358</v>
      </c>
      <c r="F150" s="14">
        <f>SUMIF('Data input'!D$3:D$202,B150,$R$3:$R$202)</f>
        <v>0</v>
      </c>
      <c r="G150" s="4">
        <f t="shared" ref="G150:G154" si="49">E150*F150</f>
        <v>0</v>
      </c>
      <c r="H150" s="136">
        <v>13.49339393939394</v>
      </c>
      <c r="I150" s="136"/>
      <c r="J150" s="6">
        <f t="shared" si="47"/>
        <v>13.49339393939394</v>
      </c>
      <c r="K150" s="6">
        <f t="shared" si="48"/>
        <v>0</v>
      </c>
      <c r="L150" s="4">
        <f>SUMIF('Data input'!$D$3:$D$202,B150,$X$3:$X$202)</f>
        <v>0</v>
      </c>
      <c r="M150" s="4">
        <f>SUMIF('Data input'!$D$3:$D$202,B150,$AC$3:$AC$202)</f>
        <v>0</v>
      </c>
      <c r="N150" s="67">
        <f>SUMIF('Data input'!$D$3:$D$202,B150,$AD$3:$AD$202)</f>
        <v>0</v>
      </c>
      <c r="O150" s="30">
        <f>'Data input'!A150</f>
        <v>148</v>
      </c>
      <c r="P150" s="11">
        <f>'Data input'!G150*('Data input'!H150/1000)</f>
        <v>0</v>
      </c>
      <c r="Q150" s="11">
        <f>'Data input'!G150*('Data input'!H150/1000)*('Data input'!I150/1000)</f>
        <v>0</v>
      </c>
      <c r="R150" s="11">
        <f>'Data input'!G150*('Data input'!H150/1000)*('Data input'!I150/1000)*('Data input'!J150/1000)</f>
        <v>0</v>
      </c>
      <c r="S150" s="11" t="str">
        <f>IF(ISNA(VLOOKUP('Data input'!D150,$B$2:$C$200,2,FALSE)),"",VLOOKUP('Data input'!D150,$B$2:$C$200,2,FALSE))</f>
        <v/>
      </c>
      <c r="T150" s="11" t="str">
        <f>IF(S150="m3",Costs!R150,IF(S150="Each",'Data input'!G150,IF(S150="m",Costs!P150,IF(S150="m2",Costs!Q150,""))))</f>
        <v/>
      </c>
      <c r="U150" s="4" t="str">
        <f>IF(ISNA(VLOOKUP('Data input'!D150,$B$2:$J$200,9,FALSE)),"",VLOOKUP('Data input'!D150,$B$2:$J$200,9,FALSE))</f>
        <v/>
      </c>
      <c r="V150" s="4" t="e">
        <f t="shared" si="42"/>
        <v>#VALUE!</v>
      </c>
      <c r="W150">
        <f>'Data input'!M150</f>
        <v>0</v>
      </c>
      <c r="X150" s="4">
        <f t="shared" si="40"/>
        <v>0</v>
      </c>
      <c r="Y150" s="4" t="e">
        <f t="shared" si="43"/>
        <v>#VALUE!</v>
      </c>
      <c r="Z150" s="4" t="str">
        <f>IF(ISNA(VLOOKUP('Data input'!D150,$B$2:$E$200,4,FALSE)),"",VLOOKUP('Data input'!D150,$B$2:$E$200,4,FALSE))</f>
        <v/>
      </c>
      <c r="AA150" s="4" t="e">
        <f t="shared" si="41"/>
        <v>#VALUE!</v>
      </c>
      <c r="AB150">
        <f>'Data input'!N150</f>
        <v>0</v>
      </c>
      <c r="AC150">
        <f t="shared" si="44"/>
        <v>0</v>
      </c>
      <c r="AD150" s="4">
        <f t="shared" si="45"/>
        <v>0</v>
      </c>
      <c r="AE150" s="6">
        <f t="shared" si="46"/>
        <v>0</v>
      </c>
    </row>
    <row r="151" spans="1:31" x14ac:dyDescent="0.35">
      <c r="A151" t="str">
        <f>Lists!A$26</f>
        <v>Paints_and_varnishes_Containing_organic_solvents_or_other_hazardous_substances</v>
      </c>
      <c r="B151" t="s">
        <v>457</v>
      </c>
      <c r="C151" s="8" t="s">
        <v>372</v>
      </c>
      <c r="D151" s="23"/>
      <c r="E151" s="136">
        <v>8550</v>
      </c>
      <c r="F151" s="14">
        <f>SUMIF('Data input'!D$3:D$202,B151,$R$3:$R$202)</f>
        <v>0</v>
      </c>
      <c r="G151" s="4">
        <f t="shared" si="49"/>
        <v>0</v>
      </c>
      <c r="H151" s="136">
        <v>13.49339393939394</v>
      </c>
      <c r="I151" s="136"/>
      <c r="J151" s="6">
        <f t="shared" si="47"/>
        <v>13.49339393939394</v>
      </c>
      <c r="K151" s="6">
        <f t="shared" si="48"/>
        <v>0</v>
      </c>
      <c r="L151" s="4">
        <f>SUMIF('Data input'!$D$3:$D$202,B151,$X$3:$X$202)</f>
        <v>0</v>
      </c>
      <c r="M151" s="4">
        <f>SUMIF('Data input'!$D$3:$D$202,B151,$AC$3:$AC$202)</f>
        <v>0</v>
      </c>
      <c r="N151" s="67">
        <f>SUMIF('Data input'!$D$3:$D$202,B151,$AD$3:$AD$202)</f>
        <v>0</v>
      </c>
      <c r="O151" s="30">
        <f>'Data input'!A151</f>
        <v>149</v>
      </c>
      <c r="P151" s="11">
        <f>'Data input'!G151*('Data input'!H151/1000)</f>
        <v>0</v>
      </c>
      <c r="Q151" s="11">
        <f>'Data input'!G151*('Data input'!H151/1000)*('Data input'!I151/1000)</f>
        <v>0</v>
      </c>
      <c r="R151" s="11">
        <f>'Data input'!G151*('Data input'!H151/1000)*('Data input'!I151/1000)*('Data input'!J151/1000)</f>
        <v>0</v>
      </c>
      <c r="S151" s="11" t="str">
        <f>IF(ISNA(VLOOKUP('Data input'!D151,$B$2:$C$200,2,FALSE)),"",VLOOKUP('Data input'!D151,$B$2:$C$200,2,FALSE))</f>
        <v/>
      </c>
      <c r="T151" s="11" t="str">
        <f>IF(S151="m3",Costs!R151,IF(S151="Each",'Data input'!G151,IF(S151="m",Costs!P151,IF(S151="m2",Costs!Q151,""))))</f>
        <v/>
      </c>
      <c r="U151" s="4" t="str">
        <f>IF(ISNA(VLOOKUP('Data input'!D151,$B$2:$J$200,9,FALSE)),"",VLOOKUP('Data input'!D151,$B$2:$J$200,9,FALSE))</f>
        <v/>
      </c>
      <c r="V151" s="4" t="e">
        <f t="shared" si="42"/>
        <v>#VALUE!</v>
      </c>
      <c r="W151">
        <f>'Data input'!M151</f>
        <v>0</v>
      </c>
      <c r="X151" s="4">
        <f t="shared" si="40"/>
        <v>0</v>
      </c>
      <c r="Y151" s="4" t="e">
        <f t="shared" si="43"/>
        <v>#VALUE!</v>
      </c>
      <c r="Z151" s="4" t="str">
        <f>IF(ISNA(VLOOKUP('Data input'!D151,$B$2:$E$200,4,FALSE)),"",VLOOKUP('Data input'!D151,$B$2:$E$200,4,FALSE))</f>
        <v/>
      </c>
      <c r="AA151" s="4" t="e">
        <f t="shared" si="41"/>
        <v>#VALUE!</v>
      </c>
      <c r="AB151">
        <f>'Data input'!N151</f>
        <v>0</v>
      </c>
      <c r="AC151">
        <f t="shared" si="44"/>
        <v>0</v>
      </c>
      <c r="AD151" s="4">
        <f t="shared" si="45"/>
        <v>0</v>
      </c>
      <c r="AE151" s="6">
        <f t="shared" si="46"/>
        <v>0</v>
      </c>
    </row>
    <row r="152" spans="1:31" x14ac:dyDescent="0.35">
      <c r="A152" t="str">
        <f>Lists!A$27</f>
        <v>Paints_and_varnishes_Not_containing_organic_solvents_or_other_hazardous_substances</v>
      </c>
      <c r="B152" t="s">
        <v>458</v>
      </c>
      <c r="C152" s="8" t="s">
        <v>372</v>
      </c>
      <c r="D152" s="23"/>
      <c r="E152" s="136">
        <f>AVERAGE(E153:E154)</f>
        <v>6670</v>
      </c>
      <c r="F152" s="14">
        <f>SUMIF('Data input'!D$3:D$202,B152,$R$3:$R$202)</f>
        <v>0</v>
      </c>
      <c r="G152" s="4">
        <f t="shared" si="49"/>
        <v>0</v>
      </c>
      <c r="H152" s="136">
        <v>13.49339393939394</v>
      </c>
      <c r="I152" s="136"/>
      <c r="J152" s="6">
        <f t="shared" si="47"/>
        <v>13.49339393939394</v>
      </c>
      <c r="K152" s="6">
        <f t="shared" si="48"/>
        <v>0</v>
      </c>
      <c r="L152" s="4">
        <f>SUMIF('Data input'!$D$3:$D$202,B152,$X$3:$X$202)</f>
        <v>0</v>
      </c>
      <c r="M152" s="4">
        <f>SUMIF('Data input'!$D$3:$D$202,B152,$AC$3:$AC$202)</f>
        <v>0</v>
      </c>
      <c r="N152" s="67">
        <f>SUMIF('Data input'!$D$3:$D$202,B152,$AD$3:$AD$202)</f>
        <v>0</v>
      </c>
      <c r="O152" s="30">
        <f>'Data input'!A152</f>
        <v>150</v>
      </c>
      <c r="P152" s="11">
        <f>'Data input'!G152*('Data input'!H152/1000)</f>
        <v>0</v>
      </c>
      <c r="Q152" s="11">
        <f>'Data input'!G152*('Data input'!H152/1000)*('Data input'!I152/1000)</f>
        <v>0</v>
      </c>
      <c r="R152" s="11">
        <f>'Data input'!G152*('Data input'!H152/1000)*('Data input'!I152/1000)*('Data input'!J152/1000)</f>
        <v>0</v>
      </c>
      <c r="S152" s="11" t="str">
        <f>IF(ISNA(VLOOKUP('Data input'!D152,$B$2:$C$200,2,FALSE)),"",VLOOKUP('Data input'!D152,$B$2:$C$200,2,FALSE))</f>
        <v/>
      </c>
      <c r="T152" s="11" t="str">
        <f>IF(S152="m3",Costs!R152,IF(S152="Each",'Data input'!G152,IF(S152="m",Costs!P152,IF(S152="m2",Costs!Q152,""))))</f>
        <v/>
      </c>
      <c r="U152" s="4" t="str">
        <f>IF(ISNA(VLOOKUP('Data input'!D152,$B$2:$J$200,9,FALSE)),"",VLOOKUP('Data input'!D152,$B$2:$J$200,9,FALSE))</f>
        <v/>
      </c>
      <c r="V152" s="4" t="e">
        <f t="shared" si="42"/>
        <v>#VALUE!</v>
      </c>
      <c r="W152">
        <f>'Data input'!M152</f>
        <v>0</v>
      </c>
      <c r="X152" s="4">
        <f t="shared" si="40"/>
        <v>0</v>
      </c>
      <c r="Y152" s="4" t="e">
        <f t="shared" si="43"/>
        <v>#VALUE!</v>
      </c>
      <c r="Z152" s="4" t="str">
        <f>IF(ISNA(VLOOKUP('Data input'!D152,$B$2:$E$200,4,FALSE)),"",VLOOKUP('Data input'!D152,$B$2:$E$200,4,FALSE))</f>
        <v/>
      </c>
      <c r="AA152" s="4" t="e">
        <f t="shared" si="41"/>
        <v>#VALUE!</v>
      </c>
      <c r="AB152">
        <f>'Data input'!N152</f>
        <v>0</v>
      </c>
      <c r="AC152">
        <f t="shared" si="44"/>
        <v>0</v>
      </c>
      <c r="AD152" s="4">
        <f t="shared" si="45"/>
        <v>0</v>
      </c>
      <c r="AE152" s="6">
        <f t="shared" si="46"/>
        <v>0</v>
      </c>
    </row>
    <row r="153" spans="1:31" x14ac:dyDescent="0.35">
      <c r="A153" t="str">
        <f>Lists!A$27</f>
        <v>Paints_and_varnishes_Not_containing_organic_solvents_or_other_hazardous_substances</v>
      </c>
      <c r="B153" t="s">
        <v>459</v>
      </c>
      <c r="C153" s="8" t="s">
        <v>372</v>
      </c>
      <c r="D153" s="23"/>
      <c r="E153" s="136">
        <v>3420</v>
      </c>
      <c r="F153" s="14">
        <f>SUMIF('Data input'!D$3:D$202,B153,$R$3:$R$202)</f>
        <v>0</v>
      </c>
      <c r="G153" s="4">
        <f t="shared" si="49"/>
        <v>0</v>
      </c>
      <c r="H153" s="136">
        <v>13.49339393939394</v>
      </c>
      <c r="I153" s="136"/>
      <c r="J153" s="6">
        <f t="shared" si="47"/>
        <v>13.49339393939394</v>
      </c>
      <c r="K153" s="6">
        <f t="shared" si="48"/>
        <v>0</v>
      </c>
      <c r="L153" s="4">
        <f>SUMIF('Data input'!$D$3:$D$202,B153,$X$3:$X$202)</f>
        <v>0</v>
      </c>
      <c r="M153" s="4">
        <f>SUMIF('Data input'!$D$3:$D$202,B153,$AC$3:$AC$202)</f>
        <v>0</v>
      </c>
      <c r="N153" s="67">
        <f>SUMIF('Data input'!$D$3:$D$202,B153,$AD$3:$AD$202)</f>
        <v>0</v>
      </c>
      <c r="O153" s="30">
        <f>'Data input'!A153</f>
        <v>151</v>
      </c>
      <c r="P153" s="11">
        <f>'Data input'!G153*('Data input'!H153/1000)</f>
        <v>0</v>
      </c>
      <c r="Q153" s="11">
        <f>'Data input'!G153*('Data input'!H153/1000)*('Data input'!I153/1000)</f>
        <v>0</v>
      </c>
      <c r="R153" s="11">
        <f>'Data input'!G153*('Data input'!H153/1000)*('Data input'!I153/1000)*('Data input'!J153/1000)</f>
        <v>0</v>
      </c>
      <c r="S153" s="11" t="str">
        <f>IF(ISNA(VLOOKUP('Data input'!D153,$B$2:$C$200,2,FALSE)),"",VLOOKUP('Data input'!D153,$B$2:$C$200,2,FALSE))</f>
        <v/>
      </c>
      <c r="T153" s="11" t="str">
        <f>IF(S153="m3",Costs!R153,IF(S153="Each",'Data input'!G153,IF(S153="m",Costs!P153,IF(S153="m2",Costs!Q153,""))))</f>
        <v/>
      </c>
      <c r="U153" s="4" t="str">
        <f>IF(ISNA(VLOOKUP('Data input'!D153,$B$2:$J$200,9,FALSE)),"",VLOOKUP('Data input'!D153,$B$2:$J$200,9,FALSE))</f>
        <v/>
      </c>
      <c r="V153" s="4" t="e">
        <f t="shared" si="42"/>
        <v>#VALUE!</v>
      </c>
      <c r="W153">
        <f>'Data input'!M153</f>
        <v>0</v>
      </c>
      <c r="X153" s="4">
        <f t="shared" si="40"/>
        <v>0</v>
      </c>
      <c r="Y153" s="4" t="e">
        <f t="shared" si="43"/>
        <v>#VALUE!</v>
      </c>
      <c r="Z153" s="4" t="str">
        <f>IF(ISNA(VLOOKUP('Data input'!D153,$B$2:$E$200,4,FALSE)),"",VLOOKUP('Data input'!D153,$B$2:$E$200,4,FALSE))</f>
        <v/>
      </c>
      <c r="AA153" s="4" t="e">
        <f t="shared" si="41"/>
        <v>#VALUE!</v>
      </c>
      <c r="AB153">
        <f>'Data input'!N153</f>
        <v>0</v>
      </c>
      <c r="AC153">
        <f t="shared" si="44"/>
        <v>0</v>
      </c>
      <c r="AD153" s="4">
        <f t="shared" si="45"/>
        <v>0</v>
      </c>
      <c r="AE153" s="6">
        <f t="shared" si="46"/>
        <v>0</v>
      </c>
    </row>
    <row r="154" spans="1:31" x14ac:dyDescent="0.35">
      <c r="A154" t="str">
        <f>Lists!A$27</f>
        <v>Paints_and_varnishes_Not_containing_organic_solvents_or_other_hazardous_substances</v>
      </c>
      <c r="B154" t="s">
        <v>460</v>
      </c>
      <c r="C154" s="8" t="s">
        <v>372</v>
      </c>
      <c r="D154" s="23"/>
      <c r="E154" s="136">
        <v>9920</v>
      </c>
      <c r="F154" s="14">
        <f>SUMIF('Data input'!D$3:D$202,B154,$R$3:$R$202)</f>
        <v>0</v>
      </c>
      <c r="G154" s="4">
        <f t="shared" si="49"/>
        <v>0</v>
      </c>
      <c r="H154" s="136">
        <v>13.49339393939394</v>
      </c>
      <c r="I154" s="136"/>
      <c r="J154" s="6">
        <f t="shared" si="47"/>
        <v>13.49339393939394</v>
      </c>
      <c r="K154" s="6">
        <f t="shared" si="48"/>
        <v>0</v>
      </c>
      <c r="L154" s="4">
        <f>SUMIF('Data input'!$D$3:$D$202,B154,$X$3:$X$202)</f>
        <v>0</v>
      </c>
      <c r="M154" s="4">
        <f>SUMIF('Data input'!$D$3:$D$202,B154,$AC$3:$AC$202)</f>
        <v>0</v>
      </c>
      <c r="N154" s="67">
        <f>SUMIF('Data input'!$D$3:$D$202,B154,$AD$3:$AD$202)</f>
        <v>0</v>
      </c>
      <c r="O154" s="30">
        <f>'Data input'!A154</f>
        <v>152</v>
      </c>
      <c r="P154" s="11">
        <f>'Data input'!G154*('Data input'!H154/1000)</f>
        <v>0</v>
      </c>
      <c r="Q154" s="11">
        <f>'Data input'!G154*('Data input'!H154/1000)*('Data input'!I154/1000)</f>
        <v>0</v>
      </c>
      <c r="R154" s="11">
        <f>'Data input'!G154*('Data input'!H154/1000)*('Data input'!I154/1000)*('Data input'!J154/1000)</f>
        <v>0</v>
      </c>
      <c r="S154" s="11" t="str">
        <f>IF(ISNA(VLOOKUP('Data input'!D154,$B$2:$C$200,2,FALSE)),"",VLOOKUP('Data input'!D154,$B$2:$C$200,2,FALSE))</f>
        <v/>
      </c>
      <c r="T154" s="11" t="str">
        <f>IF(S154="m3",Costs!R154,IF(S154="Each",'Data input'!G154,IF(S154="m",Costs!P154,IF(S154="m2",Costs!Q154,""))))</f>
        <v/>
      </c>
      <c r="U154" s="4" t="str">
        <f>IF(ISNA(VLOOKUP('Data input'!D154,$B$2:$J$200,9,FALSE)),"",VLOOKUP('Data input'!D154,$B$2:$J$200,9,FALSE))</f>
        <v/>
      </c>
      <c r="V154" s="4" t="e">
        <f t="shared" si="42"/>
        <v>#VALUE!</v>
      </c>
      <c r="W154">
        <f>'Data input'!M154</f>
        <v>0</v>
      </c>
      <c r="X154" s="4">
        <f t="shared" si="40"/>
        <v>0</v>
      </c>
      <c r="Y154" s="4" t="e">
        <f t="shared" si="43"/>
        <v>#VALUE!</v>
      </c>
      <c r="Z154" s="4" t="str">
        <f>IF(ISNA(VLOOKUP('Data input'!D154,$B$2:$E$200,4,FALSE)),"",VLOOKUP('Data input'!D154,$B$2:$E$200,4,FALSE))</f>
        <v/>
      </c>
      <c r="AA154" s="4" t="e">
        <f t="shared" si="41"/>
        <v>#VALUE!</v>
      </c>
      <c r="AB154">
        <f>'Data input'!N154</f>
        <v>0</v>
      </c>
      <c r="AC154">
        <f t="shared" si="44"/>
        <v>0</v>
      </c>
      <c r="AD154" s="4">
        <f t="shared" si="45"/>
        <v>0</v>
      </c>
      <c r="AE154" s="6">
        <f t="shared" si="46"/>
        <v>0</v>
      </c>
    </row>
    <row r="155" spans="1:31" x14ac:dyDescent="0.35">
      <c r="A155" t="str">
        <f>Lists!A$28</f>
        <v>Packaging_Paper_and_Card</v>
      </c>
      <c r="B155" t="s">
        <v>461</v>
      </c>
      <c r="C155" s="8" t="s">
        <v>439</v>
      </c>
      <c r="E155" s="138"/>
      <c r="F155" s="14"/>
      <c r="H155" s="138"/>
      <c r="I155" s="138"/>
      <c r="J155" s="6">
        <f t="shared" si="47"/>
        <v>0</v>
      </c>
      <c r="K155" s="6">
        <f t="shared" ref="K155:K173" si="50">F155*J155</f>
        <v>0</v>
      </c>
      <c r="L155" s="4">
        <f>SUMIF('Data input'!$D$3:$D$202,B155,$X$3:$X$202)</f>
        <v>0</v>
      </c>
      <c r="M155" s="4">
        <f>SUMIF('Data input'!$D$3:$D$202,B155,$AC$3:$AC$202)</f>
        <v>0</v>
      </c>
      <c r="N155" s="67">
        <f>SUMIF('Data input'!$D$3:$D$202,B155,$AD$3:$AD$202)</f>
        <v>0</v>
      </c>
      <c r="O155" s="30">
        <f>'Data input'!A155</f>
        <v>153</v>
      </c>
      <c r="P155" s="11">
        <f>'Data input'!G155*('Data input'!H155/1000)</f>
        <v>0</v>
      </c>
      <c r="Q155" s="11">
        <f>'Data input'!G155*('Data input'!H155/1000)*('Data input'!I155/1000)</f>
        <v>0</v>
      </c>
      <c r="R155" s="11">
        <f>'Data input'!G155*('Data input'!H155/1000)*('Data input'!I155/1000)*('Data input'!J155/1000)</f>
        <v>0</v>
      </c>
      <c r="S155" s="11" t="str">
        <f>IF(ISNA(VLOOKUP('Data input'!D155,$B$2:$C$200,2,FALSE)),"",VLOOKUP('Data input'!D155,$B$2:$C$200,2,FALSE))</f>
        <v/>
      </c>
      <c r="T155" s="11" t="str">
        <f>IF(S155="m3",Costs!R155,IF(S155="Each",'Data input'!G155,IF(S155="m",Costs!P155,IF(S155="m2",Costs!Q155,""))))</f>
        <v/>
      </c>
      <c r="U155" s="4" t="str">
        <f>IF(ISNA(VLOOKUP('Data input'!D155,$B$2:$J$200,9,FALSE)),"",VLOOKUP('Data input'!D155,$B$2:$J$200,9,FALSE))</f>
        <v/>
      </c>
      <c r="V155" s="4" t="e">
        <f t="shared" si="42"/>
        <v>#VALUE!</v>
      </c>
      <c r="W155">
        <f>'Data input'!M155</f>
        <v>0</v>
      </c>
      <c r="X155" s="4">
        <f t="shared" si="40"/>
        <v>0</v>
      </c>
      <c r="Y155" s="4" t="e">
        <f t="shared" si="43"/>
        <v>#VALUE!</v>
      </c>
      <c r="Z155" s="4" t="str">
        <f>IF(ISNA(VLOOKUP('Data input'!D155,$B$2:$E$200,4,FALSE)),"",VLOOKUP('Data input'!D155,$B$2:$E$200,4,FALSE))</f>
        <v/>
      </c>
      <c r="AA155" s="4" t="e">
        <f t="shared" si="41"/>
        <v>#VALUE!</v>
      </c>
      <c r="AB155">
        <f>'Data input'!N155</f>
        <v>0</v>
      </c>
      <c r="AC155">
        <f t="shared" si="44"/>
        <v>0</v>
      </c>
      <c r="AD155" s="4">
        <f t="shared" si="45"/>
        <v>0</v>
      </c>
      <c r="AE155" s="6">
        <f t="shared" si="46"/>
        <v>0</v>
      </c>
    </row>
    <row r="156" spans="1:31" x14ac:dyDescent="0.35">
      <c r="A156" t="str">
        <f>Lists!A$29</f>
        <v>Packaging_Plastic</v>
      </c>
      <c r="B156" t="s">
        <v>462</v>
      </c>
      <c r="C156" s="8" t="s">
        <v>439</v>
      </c>
      <c r="E156" s="138"/>
      <c r="F156" s="14"/>
      <c r="H156" s="138"/>
      <c r="I156" s="138"/>
      <c r="J156" s="6">
        <f t="shared" si="47"/>
        <v>0</v>
      </c>
      <c r="K156" s="6">
        <f t="shared" si="50"/>
        <v>0</v>
      </c>
      <c r="L156" s="4">
        <f>SUMIF('Data input'!$D$3:$D$202,B156,$X$3:$X$202)</f>
        <v>0</v>
      </c>
      <c r="M156" s="4">
        <f>SUMIF('Data input'!$D$3:$D$202,B156,$AC$3:$AC$202)</f>
        <v>0</v>
      </c>
      <c r="N156" s="67">
        <f>SUMIF('Data input'!$D$3:$D$202,B156,$AD$3:$AD$202)</f>
        <v>0</v>
      </c>
      <c r="O156" s="30">
        <f>'Data input'!A156</f>
        <v>154</v>
      </c>
      <c r="P156" s="11">
        <f>'Data input'!G156*('Data input'!H156/1000)</f>
        <v>0</v>
      </c>
      <c r="Q156" s="11">
        <f>'Data input'!G156*('Data input'!H156/1000)*('Data input'!I156/1000)</f>
        <v>0</v>
      </c>
      <c r="R156" s="11">
        <f>'Data input'!G156*('Data input'!H156/1000)*('Data input'!I156/1000)*('Data input'!J156/1000)</f>
        <v>0</v>
      </c>
      <c r="S156" s="11" t="str">
        <f>IF(ISNA(VLOOKUP('Data input'!D156,$B$2:$C$200,2,FALSE)),"",VLOOKUP('Data input'!D156,$B$2:$C$200,2,FALSE))</f>
        <v/>
      </c>
      <c r="T156" s="11" t="str">
        <f>IF(S156="m3",Costs!R156,IF(S156="Each",'Data input'!G156,IF(S156="m",Costs!P156,IF(S156="m2",Costs!Q156,""))))</f>
        <v/>
      </c>
      <c r="U156" s="4" t="str">
        <f>IF(ISNA(VLOOKUP('Data input'!D156,$B$2:$J$200,9,FALSE)),"",VLOOKUP('Data input'!D156,$B$2:$J$200,9,FALSE))</f>
        <v/>
      </c>
      <c r="V156" s="4" t="e">
        <f t="shared" si="42"/>
        <v>#VALUE!</v>
      </c>
      <c r="W156">
        <f>'Data input'!M156</f>
        <v>0</v>
      </c>
      <c r="X156" s="4">
        <f t="shared" si="40"/>
        <v>0</v>
      </c>
      <c r="Y156" s="4" t="e">
        <f t="shared" si="43"/>
        <v>#VALUE!</v>
      </c>
      <c r="Z156" s="4" t="str">
        <f>IF(ISNA(VLOOKUP('Data input'!D156,$B$2:$E$200,4,FALSE)),"",VLOOKUP('Data input'!D156,$B$2:$E$200,4,FALSE))</f>
        <v/>
      </c>
      <c r="AA156" s="4" t="e">
        <f t="shared" si="41"/>
        <v>#VALUE!</v>
      </c>
      <c r="AB156">
        <f>'Data input'!N156</f>
        <v>0</v>
      </c>
      <c r="AC156">
        <f t="shared" si="44"/>
        <v>0</v>
      </c>
      <c r="AD156" s="4">
        <f t="shared" si="45"/>
        <v>0</v>
      </c>
      <c r="AE156" s="6">
        <f t="shared" si="46"/>
        <v>0</v>
      </c>
    </row>
    <row r="157" spans="1:31" x14ac:dyDescent="0.35">
      <c r="A157" t="str">
        <f>Lists!A$31</f>
        <v>Packaging_Metal</v>
      </c>
      <c r="B157" t="s">
        <v>463</v>
      </c>
      <c r="C157" s="8" t="s">
        <v>439</v>
      </c>
      <c r="E157" s="138"/>
      <c r="F157" s="14"/>
      <c r="H157" s="138"/>
      <c r="I157" s="138"/>
      <c r="J157" s="6">
        <f t="shared" si="47"/>
        <v>0</v>
      </c>
      <c r="K157" s="6">
        <f t="shared" si="50"/>
        <v>0</v>
      </c>
      <c r="L157" s="4">
        <f>SUMIF('Data input'!$D$3:$D$202,B157,$X$3:$X$202)</f>
        <v>0</v>
      </c>
      <c r="M157" s="4">
        <f>SUMIF('Data input'!$D$3:$D$202,B157,$AC$3:$AC$202)</f>
        <v>0</v>
      </c>
      <c r="N157" s="67">
        <f>SUMIF('Data input'!$D$3:$D$202,B157,$AD$3:$AD$202)</f>
        <v>0</v>
      </c>
      <c r="O157" s="30">
        <f>'Data input'!A157</f>
        <v>155</v>
      </c>
      <c r="P157" s="11">
        <f>'Data input'!G157*('Data input'!H157/1000)</f>
        <v>0</v>
      </c>
      <c r="Q157" s="11">
        <f>'Data input'!G157*('Data input'!H157/1000)*('Data input'!I157/1000)</f>
        <v>0</v>
      </c>
      <c r="R157" s="11">
        <f>'Data input'!G157*('Data input'!H157/1000)*('Data input'!I157/1000)*('Data input'!J157/1000)</f>
        <v>0</v>
      </c>
      <c r="S157" s="11" t="str">
        <f>IF(ISNA(VLOOKUP('Data input'!D157,$B$2:$C$200,2,FALSE)),"",VLOOKUP('Data input'!D157,$B$2:$C$200,2,FALSE))</f>
        <v/>
      </c>
      <c r="T157" s="11" t="str">
        <f>IF(S157="m3",Costs!R157,IF(S157="Each",'Data input'!G157,IF(S157="m",Costs!P157,IF(S157="m2",Costs!Q157,""))))</f>
        <v/>
      </c>
      <c r="U157" s="4" t="str">
        <f>IF(ISNA(VLOOKUP('Data input'!D157,$B$2:$J$200,9,FALSE)),"",VLOOKUP('Data input'!D157,$B$2:$J$200,9,FALSE))</f>
        <v/>
      </c>
      <c r="V157" s="4" t="e">
        <f t="shared" si="42"/>
        <v>#VALUE!</v>
      </c>
      <c r="W157">
        <f>'Data input'!M157</f>
        <v>0</v>
      </c>
      <c r="X157" s="4">
        <f t="shared" si="40"/>
        <v>0</v>
      </c>
      <c r="Y157" s="4" t="e">
        <f t="shared" si="43"/>
        <v>#VALUE!</v>
      </c>
      <c r="Z157" s="4" t="str">
        <f>IF(ISNA(VLOOKUP('Data input'!D157,$B$2:$E$200,4,FALSE)),"",VLOOKUP('Data input'!D157,$B$2:$E$200,4,FALSE))</f>
        <v/>
      </c>
      <c r="AA157" s="4" t="e">
        <f t="shared" si="41"/>
        <v>#VALUE!</v>
      </c>
      <c r="AB157">
        <f>'Data input'!N157</f>
        <v>0</v>
      </c>
      <c r="AC157">
        <f t="shared" si="44"/>
        <v>0</v>
      </c>
      <c r="AD157" s="4">
        <f t="shared" si="45"/>
        <v>0</v>
      </c>
      <c r="AE157" s="6">
        <f t="shared" si="46"/>
        <v>0</v>
      </c>
    </row>
    <row r="158" spans="1:31" x14ac:dyDescent="0.35">
      <c r="A158" t="str">
        <f>Lists!A$32</f>
        <v>Packaging_Glass</v>
      </c>
      <c r="B158" t="s">
        <v>464</v>
      </c>
      <c r="C158" s="8" t="s">
        <v>439</v>
      </c>
      <c r="E158" s="138"/>
      <c r="F158" s="14"/>
      <c r="H158" s="138"/>
      <c r="I158" s="138"/>
      <c r="J158" s="6">
        <f t="shared" si="47"/>
        <v>0</v>
      </c>
      <c r="K158" s="6">
        <f t="shared" si="50"/>
        <v>0</v>
      </c>
      <c r="L158" s="4">
        <f>SUMIF('Data input'!$D$3:$D$202,B158,$X$3:$X$202)</f>
        <v>0</v>
      </c>
      <c r="M158" s="4">
        <f>SUMIF('Data input'!$D$3:$D$202,B158,$AC$3:$AC$202)</f>
        <v>0</v>
      </c>
      <c r="N158" s="67">
        <f>SUMIF('Data input'!$D$3:$D$202,B158,$AD$3:$AD$202)</f>
        <v>0</v>
      </c>
      <c r="O158" s="30">
        <f>'Data input'!A158</f>
        <v>156</v>
      </c>
      <c r="P158" s="11">
        <f>'Data input'!G158*('Data input'!H158/1000)</f>
        <v>0</v>
      </c>
      <c r="Q158" s="11">
        <f>'Data input'!G158*('Data input'!H158/1000)*('Data input'!I158/1000)</f>
        <v>0</v>
      </c>
      <c r="R158" s="11">
        <f>'Data input'!G158*('Data input'!H158/1000)*('Data input'!I158/1000)*('Data input'!J158/1000)</f>
        <v>0</v>
      </c>
      <c r="S158" s="11" t="str">
        <f>IF(ISNA(VLOOKUP('Data input'!D158,$B$2:$C$200,2,FALSE)),"",VLOOKUP('Data input'!D158,$B$2:$C$200,2,FALSE))</f>
        <v/>
      </c>
      <c r="T158" s="11" t="str">
        <f>IF(S158="m3",Costs!R158,IF(S158="Each",'Data input'!G158,IF(S158="m",Costs!P158,IF(S158="m2",Costs!Q158,""))))</f>
        <v/>
      </c>
      <c r="U158" s="4" t="str">
        <f>IF(ISNA(VLOOKUP('Data input'!D158,$B$2:$J$200,9,FALSE)),"",VLOOKUP('Data input'!D158,$B$2:$J$200,9,FALSE))</f>
        <v/>
      </c>
      <c r="V158" s="4" t="e">
        <f t="shared" si="42"/>
        <v>#VALUE!</v>
      </c>
      <c r="W158">
        <f>'Data input'!M158</f>
        <v>0</v>
      </c>
      <c r="X158" s="4">
        <f t="shared" si="40"/>
        <v>0</v>
      </c>
      <c r="Y158" s="4" t="e">
        <f t="shared" si="43"/>
        <v>#VALUE!</v>
      </c>
      <c r="Z158" s="4" t="str">
        <f>IF(ISNA(VLOOKUP('Data input'!D158,$B$2:$E$200,4,FALSE)),"",VLOOKUP('Data input'!D158,$B$2:$E$200,4,FALSE))</f>
        <v/>
      </c>
      <c r="AA158" s="4" t="e">
        <f t="shared" si="41"/>
        <v>#VALUE!</v>
      </c>
      <c r="AB158">
        <f>'Data input'!N158</f>
        <v>0</v>
      </c>
      <c r="AC158">
        <f t="shared" si="44"/>
        <v>0</v>
      </c>
      <c r="AD158" s="4">
        <f t="shared" si="45"/>
        <v>0</v>
      </c>
      <c r="AE158" s="6">
        <f t="shared" si="46"/>
        <v>0</v>
      </c>
    </row>
    <row r="159" spans="1:31" x14ac:dyDescent="0.35">
      <c r="A159" t="str">
        <f>Lists!A$33</f>
        <v>Packaging_Textiles</v>
      </c>
      <c r="B159" t="s">
        <v>465</v>
      </c>
      <c r="C159" s="8" t="s">
        <v>439</v>
      </c>
      <c r="E159" s="138"/>
      <c r="F159" s="14"/>
      <c r="H159" s="138"/>
      <c r="I159" s="138"/>
      <c r="J159" s="6">
        <f t="shared" si="47"/>
        <v>0</v>
      </c>
      <c r="K159" s="6">
        <f t="shared" si="50"/>
        <v>0</v>
      </c>
      <c r="L159" s="4">
        <f>SUMIF('Data input'!$D$3:$D$202,B159,$X$3:$X$202)</f>
        <v>0</v>
      </c>
      <c r="M159" s="4">
        <f>SUMIF('Data input'!$D$3:$D$202,B159,$AC$3:$AC$202)</f>
        <v>0</v>
      </c>
      <c r="N159" s="67">
        <f>SUMIF('Data input'!$D$3:$D$202,B159,$AD$3:$AD$202)</f>
        <v>0</v>
      </c>
      <c r="O159" s="30">
        <f>'Data input'!A159</f>
        <v>157</v>
      </c>
      <c r="P159" s="11">
        <f>'Data input'!G159*('Data input'!H159/1000)</f>
        <v>0</v>
      </c>
      <c r="Q159" s="11">
        <f>'Data input'!G159*('Data input'!H159/1000)*('Data input'!I159/1000)</f>
        <v>0</v>
      </c>
      <c r="R159" s="11">
        <f>'Data input'!G159*('Data input'!H159/1000)*('Data input'!I159/1000)*('Data input'!J159/1000)</f>
        <v>0</v>
      </c>
      <c r="S159" s="11" t="str">
        <f>IF(ISNA(VLOOKUP('Data input'!D159,$B$2:$C$200,2,FALSE)),"",VLOOKUP('Data input'!D159,$B$2:$C$200,2,FALSE))</f>
        <v/>
      </c>
      <c r="T159" s="11" t="str">
        <f>IF(S159="m3",Costs!R159,IF(S159="Each",'Data input'!G159,IF(S159="m",Costs!P159,IF(S159="m2",Costs!Q159,""))))</f>
        <v/>
      </c>
      <c r="U159" s="4" t="str">
        <f>IF(ISNA(VLOOKUP('Data input'!D159,$B$2:$J$200,9,FALSE)),"",VLOOKUP('Data input'!D159,$B$2:$J$200,9,FALSE))</f>
        <v/>
      </c>
      <c r="V159" s="4" t="e">
        <f t="shared" si="42"/>
        <v>#VALUE!</v>
      </c>
      <c r="W159">
        <f>'Data input'!M159</f>
        <v>0</v>
      </c>
      <c r="X159" s="4">
        <f t="shared" si="40"/>
        <v>0</v>
      </c>
      <c r="Y159" s="4" t="e">
        <f t="shared" si="43"/>
        <v>#VALUE!</v>
      </c>
      <c r="Z159" s="4" t="str">
        <f>IF(ISNA(VLOOKUP('Data input'!D159,$B$2:$E$200,4,FALSE)),"",VLOOKUP('Data input'!D159,$B$2:$E$200,4,FALSE))</f>
        <v/>
      </c>
      <c r="AA159" s="4" t="e">
        <f t="shared" si="41"/>
        <v>#VALUE!</v>
      </c>
      <c r="AB159">
        <f>'Data input'!N159</f>
        <v>0</v>
      </c>
      <c r="AC159">
        <f t="shared" si="44"/>
        <v>0</v>
      </c>
      <c r="AD159" s="4">
        <f t="shared" si="45"/>
        <v>0</v>
      </c>
      <c r="AE159" s="6">
        <f t="shared" si="46"/>
        <v>0</v>
      </c>
    </row>
    <row r="160" spans="1:31" x14ac:dyDescent="0.35">
      <c r="A160" t="str">
        <f>Lists!A$34</f>
        <v>Packaging_Paint_cans_Metal_Plastic</v>
      </c>
      <c r="B160" t="s">
        <v>466</v>
      </c>
      <c r="C160" s="8" t="s">
        <v>439</v>
      </c>
      <c r="E160" s="138"/>
      <c r="F160" s="14"/>
      <c r="H160" s="138"/>
      <c r="I160" s="138"/>
      <c r="J160" s="6">
        <f t="shared" si="47"/>
        <v>0</v>
      </c>
      <c r="K160" s="6">
        <f t="shared" si="50"/>
        <v>0</v>
      </c>
      <c r="L160" s="4">
        <f>SUMIF('Data input'!$D$3:$D$202,B160,$X$3:$X$202)</f>
        <v>0</v>
      </c>
      <c r="M160" s="4">
        <f>SUMIF('Data input'!$D$3:$D$202,B160,$AC$3:$AC$202)</f>
        <v>0</v>
      </c>
      <c r="N160" s="67">
        <f>SUMIF('Data input'!$D$3:$D$202,B160,$AD$3:$AD$202)</f>
        <v>0</v>
      </c>
      <c r="O160" s="30">
        <f>'Data input'!A160</f>
        <v>158</v>
      </c>
      <c r="P160" s="11">
        <f>'Data input'!G160*('Data input'!H160/1000)</f>
        <v>0</v>
      </c>
      <c r="Q160" s="11">
        <f>'Data input'!G160*('Data input'!H160/1000)*('Data input'!I160/1000)</f>
        <v>0</v>
      </c>
      <c r="R160" s="11">
        <f>'Data input'!G160*('Data input'!H160/1000)*('Data input'!I160/1000)*('Data input'!J160/1000)</f>
        <v>0</v>
      </c>
      <c r="S160" s="11" t="str">
        <f>IF(ISNA(VLOOKUP('Data input'!D160,$B$2:$C$200,2,FALSE)),"",VLOOKUP('Data input'!D160,$B$2:$C$200,2,FALSE))</f>
        <v/>
      </c>
      <c r="T160" s="11" t="str">
        <f>IF(S160="m3",Costs!R160,IF(S160="Each",'Data input'!G160,IF(S160="m",Costs!P160,IF(S160="m2",Costs!Q160,""))))</f>
        <v/>
      </c>
      <c r="U160" s="4" t="str">
        <f>IF(ISNA(VLOOKUP('Data input'!D160,$B$2:$J$200,9,FALSE)),"",VLOOKUP('Data input'!D160,$B$2:$J$200,9,FALSE))</f>
        <v/>
      </c>
      <c r="V160" s="4" t="e">
        <f t="shared" si="42"/>
        <v>#VALUE!</v>
      </c>
      <c r="W160">
        <f>'Data input'!M160</f>
        <v>0</v>
      </c>
      <c r="X160" s="4">
        <f t="shared" si="40"/>
        <v>0</v>
      </c>
      <c r="Y160" s="4" t="e">
        <f t="shared" si="43"/>
        <v>#VALUE!</v>
      </c>
      <c r="Z160" s="4" t="str">
        <f>IF(ISNA(VLOOKUP('Data input'!D160,$B$2:$E$200,4,FALSE)),"",VLOOKUP('Data input'!D160,$B$2:$E$200,4,FALSE))</f>
        <v/>
      </c>
      <c r="AA160" s="4" t="e">
        <f t="shared" si="41"/>
        <v>#VALUE!</v>
      </c>
      <c r="AB160">
        <f>'Data input'!N160</f>
        <v>0</v>
      </c>
      <c r="AC160">
        <f t="shared" si="44"/>
        <v>0</v>
      </c>
      <c r="AD160" s="4">
        <f t="shared" si="45"/>
        <v>0</v>
      </c>
      <c r="AE160" s="6">
        <f t="shared" si="46"/>
        <v>0</v>
      </c>
    </row>
    <row r="161" spans="1:31" x14ac:dyDescent="0.35">
      <c r="A161" t="str">
        <f>Lists!A$3</f>
        <v>Concrete</v>
      </c>
      <c r="B161" s="33" t="s">
        <v>467</v>
      </c>
      <c r="C161" s="8" t="s">
        <v>372</v>
      </c>
      <c r="E161" s="136">
        <v>95.170454545454547</v>
      </c>
      <c r="F161" s="14">
        <f>SUMIF('Data input'!D$3:D$202,B161,$R$3:$R$202)</f>
        <v>0</v>
      </c>
      <c r="G161" s="4">
        <f t="shared" ref="G161:G173" si="51">E161*F161</f>
        <v>0</v>
      </c>
      <c r="H161" s="136">
        <v>16.587575757575756</v>
      </c>
      <c r="I161" s="136"/>
      <c r="J161" s="6">
        <f t="shared" si="47"/>
        <v>16.587575757575756</v>
      </c>
      <c r="K161" s="6">
        <f t="shared" si="50"/>
        <v>0</v>
      </c>
      <c r="L161" s="4">
        <f>SUMIF('Data input'!$D$3:$D$202,B161,$X$3:$X$202)</f>
        <v>0</v>
      </c>
      <c r="M161" s="4">
        <f>SUMIF('Data input'!$D$3:$D$202,B161,$AC$3:$AC$202)</f>
        <v>0</v>
      </c>
      <c r="N161" s="67">
        <f>SUMIF('Data input'!$D$3:$D$202,B161,$AD$3:$AD$202)</f>
        <v>0</v>
      </c>
      <c r="O161" s="30">
        <f>'Data input'!A161</f>
        <v>159</v>
      </c>
      <c r="P161" s="11">
        <f>'Data input'!G161*('Data input'!H161/1000)</f>
        <v>0</v>
      </c>
      <c r="Q161" s="11">
        <f>'Data input'!G161*('Data input'!H161/1000)*('Data input'!I161/1000)</f>
        <v>0</v>
      </c>
      <c r="R161" s="11">
        <f>'Data input'!G161*('Data input'!H161/1000)*('Data input'!I161/1000)*('Data input'!J161/1000)</f>
        <v>0</v>
      </c>
      <c r="S161" s="11" t="str">
        <f>IF(ISNA(VLOOKUP('Data input'!D161,$B$2:$C$200,2,FALSE)),"",VLOOKUP('Data input'!D161,$B$2:$C$200,2,FALSE))</f>
        <v/>
      </c>
      <c r="T161" s="11" t="str">
        <f>IF(S161="m3",Costs!R161,IF(S161="Each",'Data input'!G161,IF(S161="m",Costs!P161,IF(S161="m2",Costs!Q161,""))))</f>
        <v/>
      </c>
      <c r="U161" s="4" t="str">
        <f>IF(ISNA(VLOOKUP('Data input'!D161,$B$2:$J$200,9,FALSE)),"",VLOOKUP('Data input'!D161,$B$2:$J$200,9,FALSE))</f>
        <v/>
      </c>
      <c r="V161" s="4" t="e">
        <f t="shared" si="42"/>
        <v>#VALUE!</v>
      </c>
      <c r="W161">
        <f>'Data input'!M161</f>
        <v>0</v>
      </c>
      <c r="X161" s="4">
        <f t="shared" si="40"/>
        <v>0</v>
      </c>
      <c r="Y161" s="4" t="e">
        <f t="shared" si="43"/>
        <v>#VALUE!</v>
      </c>
      <c r="Z161" s="4" t="str">
        <f>IF(ISNA(VLOOKUP('Data input'!D161,$B$2:$E$200,4,FALSE)),"",VLOOKUP('Data input'!D161,$B$2:$E$200,4,FALSE))</f>
        <v/>
      </c>
      <c r="AA161" s="4" t="e">
        <f t="shared" si="41"/>
        <v>#VALUE!</v>
      </c>
      <c r="AB161">
        <f>'Data input'!N161</f>
        <v>0</v>
      </c>
      <c r="AC161">
        <f t="shared" si="44"/>
        <v>0</v>
      </c>
      <c r="AD161" s="4">
        <f t="shared" si="45"/>
        <v>0</v>
      </c>
      <c r="AE161" s="6">
        <f t="shared" si="46"/>
        <v>0</v>
      </c>
    </row>
    <row r="162" spans="1:31" x14ac:dyDescent="0.35">
      <c r="A162" t="str">
        <f>Lists!A$3</f>
        <v>Concrete</v>
      </c>
      <c r="B162" s="33" t="s">
        <v>468</v>
      </c>
      <c r="C162" s="8" t="s">
        <v>372</v>
      </c>
      <c r="E162" s="136">
        <v>110.33681818181817</v>
      </c>
      <c r="F162" s="14">
        <f>SUMIF('Data input'!D$3:D$202,B162,$R$3:$R$202)</f>
        <v>0</v>
      </c>
      <c r="G162" s="4">
        <f t="shared" si="51"/>
        <v>0</v>
      </c>
      <c r="H162" s="136">
        <v>16.587575757575756</v>
      </c>
      <c r="I162" s="136"/>
      <c r="J162" s="6">
        <f t="shared" si="47"/>
        <v>16.587575757575756</v>
      </c>
      <c r="K162" s="6">
        <f t="shared" si="50"/>
        <v>0</v>
      </c>
      <c r="L162" s="4">
        <f>SUMIF('Data input'!$D$3:$D$202,B162,$X$3:$X$202)</f>
        <v>0</v>
      </c>
      <c r="M162" s="4">
        <f>SUMIF('Data input'!$D$3:$D$202,B162,$AC$3:$AC$202)</f>
        <v>0</v>
      </c>
      <c r="N162" s="67">
        <f>SUMIF('Data input'!$D$3:$D$202,B162,$AD$3:$AD$202)</f>
        <v>0</v>
      </c>
      <c r="O162" s="30">
        <f>'Data input'!A162</f>
        <v>160</v>
      </c>
      <c r="P162" s="11">
        <f>'Data input'!G162*('Data input'!H162/1000)</f>
        <v>0</v>
      </c>
      <c r="Q162" s="11">
        <f>'Data input'!G162*('Data input'!H162/1000)*('Data input'!I162/1000)</f>
        <v>0</v>
      </c>
      <c r="R162" s="11">
        <f>'Data input'!G162*('Data input'!H162/1000)*('Data input'!I162/1000)*('Data input'!J162/1000)</f>
        <v>0</v>
      </c>
      <c r="S162" s="11" t="str">
        <f>IF(ISNA(VLOOKUP('Data input'!D162,$B$2:$C$200,2,FALSE)),"",VLOOKUP('Data input'!D162,$B$2:$C$200,2,FALSE))</f>
        <v/>
      </c>
      <c r="T162" s="11" t="str">
        <f>IF(S162="m3",Costs!R162,IF(S162="Each",'Data input'!G162,IF(S162="m",Costs!P162,IF(S162="m2",Costs!Q162,""))))</f>
        <v/>
      </c>
      <c r="U162" s="4" t="str">
        <f>IF(ISNA(VLOOKUP('Data input'!D162,$B$2:$J$200,9,FALSE)),"",VLOOKUP('Data input'!D162,$B$2:$J$200,9,FALSE))</f>
        <v/>
      </c>
      <c r="V162" s="4" t="e">
        <f t="shared" si="42"/>
        <v>#VALUE!</v>
      </c>
      <c r="W162">
        <f>'Data input'!M162</f>
        <v>0</v>
      </c>
      <c r="X162" s="4">
        <f t="shared" si="40"/>
        <v>0</v>
      </c>
      <c r="Y162" s="4" t="e">
        <f t="shared" si="43"/>
        <v>#VALUE!</v>
      </c>
      <c r="Z162" s="4" t="str">
        <f>IF(ISNA(VLOOKUP('Data input'!D162,$B$2:$E$200,4,FALSE)),"",VLOOKUP('Data input'!D162,$B$2:$E$200,4,FALSE))</f>
        <v/>
      </c>
      <c r="AA162" s="4" t="e">
        <f t="shared" si="41"/>
        <v>#VALUE!</v>
      </c>
      <c r="AB162">
        <f>'Data input'!N162</f>
        <v>0</v>
      </c>
      <c r="AC162">
        <f t="shared" si="44"/>
        <v>0</v>
      </c>
      <c r="AD162" s="4">
        <f t="shared" si="45"/>
        <v>0</v>
      </c>
      <c r="AE162" s="6">
        <f t="shared" si="46"/>
        <v>0</v>
      </c>
    </row>
    <row r="163" spans="1:31" x14ac:dyDescent="0.35">
      <c r="A163" t="str">
        <f>Lists!A$3</f>
        <v>Concrete</v>
      </c>
      <c r="B163" s="33" t="s">
        <v>469</v>
      </c>
      <c r="C163" s="8" t="s">
        <v>362</v>
      </c>
      <c r="E163" s="136">
        <v>36.139393939393941</v>
      </c>
      <c r="F163" s="14">
        <f>SUMIF('Data input'!D$3:D$202,B163,$Q$3:$Q$202)</f>
        <v>0</v>
      </c>
      <c r="G163" s="4">
        <f t="shared" si="51"/>
        <v>0</v>
      </c>
      <c r="H163" s="136">
        <v>10.74030303030303</v>
      </c>
      <c r="I163" s="136"/>
      <c r="J163" s="6">
        <f t="shared" si="47"/>
        <v>10.74030303030303</v>
      </c>
      <c r="K163" s="6">
        <f t="shared" si="50"/>
        <v>0</v>
      </c>
      <c r="L163" s="4">
        <f>SUMIF('Data input'!$D$3:$D$202,B163,$X$3:$X$202)</f>
        <v>0</v>
      </c>
      <c r="M163" s="4">
        <f>SUMIF('Data input'!$D$3:$D$202,B163,$AC$3:$AC$202)</f>
        <v>0</v>
      </c>
      <c r="N163" s="67">
        <f>SUMIF('Data input'!$D$3:$D$202,B163,$AD$3:$AD$202)</f>
        <v>0</v>
      </c>
      <c r="O163" s="30">
        <f>'Data input'!A163</f>
        <v>161</v>
      </c>
      <c r="P163" s="11">
        <f>'Data input'!G163*('Data input'!H163/1000)</f>
        <v>0</v>
      </c>
      <c r="Q163" s="11">
        <f>'Data input'!G163*('Data input'!H163/1000)*('Data input'!I163/1000)</f>
        <v>0</v>
      </c>
      <c r="R163" s="11">
        <f>'Data input'!G163*('Data input'!H163/1000)*('Data input'!I163/1000)*('Data input'!J163/1000)</f>
        <v>0</v>
      </c>
      <c r="S163" s="11" t="str">
        <f>IF(ISNA(VLOOKUP('Data input'!D163,$B$2:$C$200,2,FALSE)),"",VLOOKUP('Data input'!D163,$B$2:$C$200,2,FALSE))</f>
        <v/>
      </c>
      <c r="T163" s="11" t="str">
        <f>IF(S163="m3",Costs!R163,IF(S163="Each",'Data input'!G163,IF(S163="m",Costs!P163,IF(S163="m2",Costs!Q163,""))))</f>
        <v/>
      </c>
      <c r="U163" s="4" t="str">
        <f>IF(ISNA(VLOOKUP('Data input'!D163,$B$2:$J$200,9,FALSE)),"",VLOOKUP('Data input'!D163,$B$2:$J$200,9,FALSE))</f>
        <v/>
      </c>
      <c r="V163" s="4" t="e">
        <f t="shared" si="42"/>
        <v>#VALUE!</v>
      </c>
      <c r="W163">
        <f>'Data input'!M163</f>
        <v>0</v>
      </c>
      <c r="X163" s="4">
        <f t="shared" ref="X163:X194" si="52">SUMIF(W163,"Yes",V163)</f>
        <v>0</v>
      </c>
      <c r="Y163" s="4" t="e">
        <f t="shared" si="43"/>
        <v>#VALUE!</v>
      </c>
      <c r="Z163" s="4" t="str">
        <f>IF(ISNA(VLOOKUP('Data input'!D163,$B$2:$E$200,4,FALSE)),"",VLOOKUP('Data input'!D163,$B$2:$E$200,4,FALSE))</f>
        <v/>
      </c>
      <c r="AA163" s="4" t="e">
        <f t="shared" ref="AA163:AA194" si="53">T163*Z163</f>
        <v>#VALUE!</v>
      </c>
      <c r="AB163">
        <f>'Data input'!N163</f>
        <v>0</v>
      </c>
      <c r="AC163">
        <f t="shared" si="44"/>
        <v>0</v>
      </c>
      <c r="AD163" s="4">
        <f t="shared" si="45"/>
        <v>0</v>
      </c>
      <c r="AE163" s="6">
        <f t="shared" si="46"/>
        <v>0</v>
      </c>
    </row>
    <row r="164" spans="1:31" x14ac:dyDescent="0.35">
      <c r="A164" t="str">
        <f>Lists!A4</f>
        <v>Bricks</v>
      </c>
      <c r="B164" s="33" t="s">
        <v>470</v>
      </c>
      <c r="C164" s="8" t="s">
        <v>342</v>
      </c>
      <c r="E164" s="136">
        <v>1.46</v>
      </c>
      <c r="F164" s="14">
        <f>SUMIF('Data input'!D$3:D$202,B164,'Data input'!G$3:G$202)</f>
        <v>0</v>
      </c>
      <c r="G164" s="4">
        <f t="shared" si="51"/>
        <v>0</v>
      </c>
      <c r="H164" s="136">
        <v>1.5</v>
      </c>
      <c r="I164" s="136"/>
      <c r="J164" s="6">
        <f t="shared" si="47"/>
        <v>1.5</v>
      </c>
      <c r="K164" s="6">
        <f t="shared" si="50"/>
        <v>0</v>
      </c>
      <c r="L164" s="4">
        <f>SUMIF('Data input'!$D$3:$D$202,B164,$X$3:$X$202)</f>
        <v>0</v>
      </c>
      <c r="M164" s="4">
        <f>SUMIF('Data input'!$D$3:$D$202,B164,$AC$3:$AC$202)</f>
        <v>0</v>
      </c>
      <c r="N164" s="67">
        <f>SUMIF('Data input'!$D$3:$D$202,B164,$AD$3:$AD$202)</f>
        <v>0</v>
      </c>
      <c r="O164" s="30">
        <f>'Data input'!A164</f>
        <v>162</v>
      </c>
      <c r="P164" s="11">
        <f>'Data input'!G164*('Data input'!H164/1000)</f>
        <v>0</v>
      </c>
      <c r="Q164" s="11">
        <f>'Data input'!G164*('Data input'!H164/1000)*('Data input'!I164/1000)</f>
        <v>0</v>
      </c>
      <c r="R164" s="11">
        <f>'Data input'!G164*('Data input'!H164/1000)*('Data input'!I164/1000)*('Data input'!J164/1000)</f>
        <v>0</v>
      </c>
      <c r="S164" s="11" t="str">
        <f>IF(ISNA(VLOOKUP('Data input'!D164,$B$2:$C$200,2,FALSE)),"",VLOOKUP('Data input'!D164,$B$2:$C$200,2,FALSE))</f>
        <v/>
      </c>
      <c r="T164" s="11" t="str">
        <f>IF(S164="m3",Costs!R164,IF(S164="Each",'Data input'!G164,IF(S164="m",Costs!P164,IF(S164="m2",Costs!Q164,""))))</f>
        <v/>
      </c>
      <c r="U164" s="4" t="str">
        <f>IF(ISNA(VLOOKUP('Data input'!D164,$B$2:$J$200,9,FALSE)),"",VLOOKUP('Data input'!D164,$B$2:$J$200,9,FALSE))</f>
        <v/>
      </c>
      <c r="V164" s="4" t="e">
        <f t="shared" si="42"/>
        <v>#VALUE!</v>
      </c>
      <c r="W164">
        <f>'Data input'!M164</f>
        <v>0</v>
      </c>
      <c r="X164" s="4">
        <f t="shared" si="52"/>
        <v>0</v>
      </c>
      <c r="Y164" s="4" t="e">
        <f t="shared" si="43"/>
        <v>#VALUE!</v>
      </c>
      <c r="Z164" s="4" t="str">
        <f>IF(ISNA(VLOOKUP('Data input'!D164,$B$2:$E$200,4,FALSE)),"",VLOOKUP('Data input'!D164,$B$2:$E$200,4,FALSE))</f>
        <v/>
      </c>
      <c r="AA164" s="4" t="e">
        <f t="shared" si="53"/>
        <v>#VALUE!</v>
      </c>
      <c r="AB164">
        <f>'Data input'!N164</f>
        <v>0</v>
      </c>
      <c r="AC164">
        <f t="shared" si="44"/>
        <v>0</v>
      </c>
      <c r="AD164" s="4">
        <f t="shared" si="45"/>
        <v>0</v>
      </c>
      <c r="AE164" s="6">
        <f t="shared" si="46"/>
        <v>0</v>
      </c>
    </row>
    <row r="165" spans="1:31" x14ac:dyDescent="0.35">
      <c r="A165" t="str">
        <f>Lists!A6</f>
        <v>Concrete_bricks_tiles_and_ceramics_in_mixtures</v>
      </c>
      <c r="B165" s="33" t="s">
        <v>471</v>
      </c>
      <c r="C165" s="8" t="s">
        <v>362</v>
      </c>
      <c r="E165" s="136">
        <v>16.689090909090911</v>
      </c>
      <c r="F165" s="14">
        <f>SUMIF('Data input'!D$3:D$202,B165,$Q$3:$Q$202)</f>
        <v>0</v>
      </c>
      <c r="G165" s="4">
        <f t="shared" si="51"/>
        <v>0</v>
      </c>
      <c r="H165" s="136">
        <v>8.872424242424243</v>
      </c>
      <c r="I165" s="136"/>
      <c r="J165" s="6">
        <f t="shared" si="47"/>
        <v>8.872424242424243</v>
      </c>
      <c r="K165" s="6">
        <f t="shared" si="50"/>
        <v>0</v>
      </c>
      <c r="L165" s="4">
        <f>SUMIF('Data input'!$D$3:$D$202,B165,$X$3:$X$202)</f>
        <v>0</v>
      </c>
      <c r="M165" s="4">
        <f>SUMIF('Data input'!$D$3:$D$202,B165,$AC$3:$AC$202)</f>
        <v>0</v>
      </c>
      <c r="N165" s="67">
        <f>SUMIF('Data input'!$D$3:$D$202,B165,$AD$3:$AD$202)</f>
        <v>0</v>
      </c>
      <c r="O165" s="30">
        <f>'Data input'!A165</f>
        <v>163</v>
      </c>
      <c r="P165" s="11">
        <f>'Data input'!G165*('Data input'!H165/1000)</f>
        <v>0</v>
      </c>
      <c r="Q165" s="11">
        <f>'Data input'!G165*('Data input'!H165/1000)*('Data input'!I165/1000)</f>
        <v>0</v>
      </c>
      <c r="R165" s="11">
        <f>'Data input'!G165*('Data input'!H165/1000)*('Data input'!I165/1000)*('Data input'!J165/1000)</f>
        <v>0</v>
      </c>
      <c r="S165" s="11" t="str">
        <f>IF(ISNA(VLOOKUP('Data input'!D165,$B$2:$C$200,2,FALSE)),"",VLOOKUP('Data input'!D165,$B$2:$C$200,2,FALSE))</f>
        <v/>
      </c>
      <c r="T165" s="11" t="str">
        <f>IF(S165="m3",Costs!R165,IF(S165="Each",'Data input'!G165,IF(S165="m",Costs!P165,IF(S165="m2",Costs!Q165,""))))</f>
        <v/>
      </c>
      <c r="U165" s="4" t="str">
        <f>IF(ISNA(VLOOKUP('Data input'!D165,$B$2:$J$200,9,FALSE)),"",VLOOKUP('Data input'!D165,$B$2:$J$200,9,FALSE))</f>
        <v/>
      </c>
      <c r="V165" s="4" t="e">
        <f t="shared" si="42"/>
        <v>#VALUE!</v>
      </c>
      <c r="W165">
        <f>'Data input'!M165</f>
        <v>0</v>
      </c>
      <c r="X165" s="4">
        <f t="shared" si="52"/>
        <v>0</v>
      </c>
      <c r="Y165" s="4" t="e">
        <f t="shared" si="43"/>
        <v>#VALUE!</v>
      </c>
      <c r="Z165" s="4" t="str">
        <f>IF(ISNA(VLOOKUP('Data input'!D165,$B$2:$E$200,4,FALSE)),"",VLOOKUP('Data input'!D165,$B$2:$E$200,4,FALSE))</f>
        <v/>
      </c>
      <c r="AA165" s="4" t="e">
        <f t="shared" si="53"/>
        <v>#VALUE!</v>
      </c>
      <c r="AB165">
        <f>'Data input'!N165</f>
        <v>0</v>
      </c>
      <c r="AC165">
        <f t="shared" si="44"/>
        <v>0</v>
      </c>
      <c r="AD165" s="4">
        <f t="shared" si="45"/>
        <v>0</v>
      </c>
      <c r="AE165" s="6">
        <f t="shared" si="46"/>
        <v>0</v>
      </c>
    </row>
    <row r="166" spans="1:31" x14ac:dyDescent="0.35">
      <c r="A166" t="str">
        <f>Lists!A7</f>
        <v>Wood_untreated</v>
      </c>
      <c r="B166" s="33" t="s">
        <v>472</v>
      </c>
      <c r="C166" s="8" t="s">
        <v>352</v>
      </c>
      <c r="E166" s="136">
        <v>4.6493939393939394</v>
      </c>
      <c r="F166" s="14">
        <f>SUMIF('Data input'!D$3:D$202,B166,$P$3:$P$202)</f>
        <v>0</v>
      </c>
      <c r="G166" s="4">
        <f t="shared" si="51"/>
        <v>0</v>
      </c>
      <c r="H166" s="136">
        <v>2.9236363636363634</v>
      </c>
      <c r="I166" s="136"/>
      <c r="J166" s="6">
        <f t="shared" si="47"/>
        <v>2.9236363636363634</v>
      </c>
      <c r="K166" s="6">
        <f t="shared" si="50"/>
        <v>0</v>
      </c>
      <c r="L166" s="4">
        <f>SUMIF('Data input'!$D$3:$D$202,B166,$X$3:$X$202)</f>
        <v>0</v>
      </c>
      <c r="M166" s="4">
        <f>SUMIF('Data input'!$D$3:$D$202,B166,$AC$3:$AC$202)</f>
        <v>0</v>
      </c>
      <c r="N166" s="67">
        <f>SUMIF('Data input'!$D$3:$D$202,B166,$AD$3:$AD$202)</f>
        <v>0</v>
      </c>
      <c r="O166" s="30">
        <f>'Data input'!A166</f>
        <v>164</v>
      </c>
      <c r="P166" s="11">
        <f>'Data input'!G166*('Data input'!H166/1000)</f>
        <v>0</v>
      </c>
      <c r="Q166" s="11">
        <f>'Data input'!G166*('Data input'!H166/1000)*('Data input'!I166/1000)</f>
        <v>0</v>
      </c>
      <c r="R166" s="11">
        <f>'Data input'!G166*('Data input'!H166/1000)*('Data input'!I166/1000)*('Data input'!J166/1000)</f>
        <v>0</v>
      </c>
      <c r="S166" s="11" t="str">
        <f>IF(ISNA(VLOOKUP('Data input'!D166,$B$2:$C$200,2,FALSE)),"",VLOOKUP('Data input'!D166,$B$2:$C$200,2,FALSE))</f>
        <v/>
      </c>
      <c r="T166" s="11" t="str">
        <f>IF(S166="m3",Costs!R166,IF(S166="Each",'Data input'!G166,IF(S166="m",Costs!P166,IF(S166="m2",Costs!Q166,""))))</f>
        <v/>
      </c>
      <c r="U166" s="4" t="str">
        <f>IF(ISNA(VLOOKUP('Data input'!D166,$B$2:$J$200,9,FALSE)),"",VLOOKUP('Data input'!D166,$B$2:$J$200,9,FALSE))</f>
        <v/>
      </c>
      <c r="V166" s="4" t="e">
        <f t="shared" si="42"/>
        <v>#VALUE!</v>
      </c>
      <c r="W166">
        <f>'Data input'!M166</f>
        <v>0</v>
      </c>
      <c r="X166" s="4">
        <f t="shared" si="52"/>
        <v>0</v>
      </c>
      <c r="Y166" s="4" t="e">
        <f t="shared" si="43"/>
        <v>#VALUE!</v>
      </c>
      <c r="Z166" s="4" t="str">
        <f>IF(ISNA(VLOOKUP('Data input'!D166,$B$2:$E$200,4,FALSE)),"",VLOOKUP('Data input'!D166,$B$2:$E$200,4,FALSE))</f>
        <v/>
      </c>
      <c r="AA166" s="4" t="e">
        <f t="shared" si="53"/>
        <v>#VALUE!</v>
      </c>
      <c r="AB166">
        <f>'Data input'!N166</f>
        <v>0</v>
      </c>
      <c r="AC166">
        <f t="shared" si="44"/>
        <v>0</v>
      </c>
      <c r="AD166" s="4">
        <f t="shared" si="45"/>
        <v>0</v>
      </c>
      <c r="AE166" s="6">
        <f t="shared" si="46"/>
        <v>0</v>
      </c>
    </row>
    <row r="167" spans="1:31" x14ac:dyDescent="0.35">
      <c r="A167" t="str">
        <f>Lists!A9</f>
        <v>Glass_uncontaminated</v>
      </c>
      <c r="B167" s="33" t="s">
        <v>473</v>
      </c>
      <c r="C167" s="8" t="s">
        <v>342</v>
      </c>
      <c r="E167" s="136">
        <v>348.65378787878785</v>
      </c>
      <c r="F167" s="14">
        <f>SUMIF('Data input'!D$3:D$202,B167,'Data input'!G$3:G$202)</f>
        <v>0</v>
      </c>
      <c r="G167" s="4">
        <f t="shared" si="51"/>
        <v>0</v>
      </c>
      <c r="H167" s="136">
        <v>18.699090909090909</v>
      </c>
      <c r="I167" s="136"/>
      <c r="J167" s="6">
        <f t="shared" si="47"/>
        <v>18.699090909090909</v>
      </c>
      <c r="K167" s="6">
        <f t="shared" si="50"/>
        <v>0</v>
      </c>
      <c r="L167" s="4">
        <f>SUMIF('Data input'!$D$3:$D$202,B167,$X$3:$X$202)</f>
        <v>0</v>
      </c>
      <c r="M167" s="4">
        <f>SUMIF('Data input'!$D$3:$D$202,B167,$AC$3:$AC$202)</f>
        <v>0</v>
      </c>
      <c r="N167" s="67">
        <f>SUMIF('Data input'!$D$3:$D$202,B167,$AD$3:$AD$202)</f>
        <v>0</v>
      </c>
      <c r="O167" s="30">
        <f>'Data input'!A167</f>
        <v>165</v>
      </c>
      <c r="P167" s="11">
        <f>'Data input'!G167*('Data input'!H167/1000)</f>
        <v>0</v>
      </c>
      <c r="Q167" s="11">
        <f>'Data input'!G167*('Data input'!H167/1000)*('Data input'!I167/1000)</f>
        <v>0</v>
      </c>
      <c r="R167" s="11">
        <f>'Data input'!G167*('Data input'!H167/1000)*('Data input'!I167/1000)*('Data input'!J167/1000)</f>
        <v>0</v>
      </c>
      <c r="S167" s="11" t="str">
        <f>IF(ISNA(VLOOKUP('Data input'!D167,$B$2:$C$200,2,FALSE)),"",VLOOKUP('Data input'!D167,$B$2:$C$200,2,FALSE))</f>
        <v/>
      </c>
      <c r="T167" s="11" t="str">
        <f>IF(S167="m3",Costs!R167,IF(S167="Each",'Data input'!G167,IF(S167="m",Costs!P167,IF(S167="m2",Costs!Q167,""))))</f>
        <v/>
      </c>
      <c r="U167" s="4" t="str">
        <f>IF(ISNA(VLOOKUP('Data input'!D167,$B$2:$J$200,9,FALSE)),"",VLOOKUP('Data input'!D167,$B$2:$J$200,9,FALSE))</f>
        <v/>
      </c>
      <c r="V167" s="4" t="e">
        <f t="shared" si="42"/>
        <v>#VALUE!</v>
      </c>
      <c r="W167">
        <f>'Data input'!M167</f>
        <v>0</v>
      </c>
      <c r="X167" s="4">
        <f t="shared" si="52"/>
        <v>0</v>
      </c>
      <c r="Y167" s="4" t="e">
        <f t="shared" si="43"/>
        <v>#VALUE!</v>
      </c>
      <c r="Z167" s="4" t="str">
        <f>IF(ISNA(VLOOKUP('Data input'!D167,$B$2:$E$200,4,FALSE)),"",VLOOKUP('Data input'!D167,$B$2:$E$200,4,FALSE))</f>
        <v/>
      </c>
      <c r="AA167" s="4" t="e">
        <f t="shared" si="53"/>
        <v>#VALUE!</v>
      </c>
      <c r="AB167">
        <f>'Data input'!N167</f>
        <v>0</v>
      </c>
      <c r="AC167">
        <f t="shared" si="44"/>
        <v>0</v>
      </c>
      <c r="AD167" s="4">
        <f t="shared" si="45"/>
        <v>0</v>
      </c>
      <c r="AE167" s="6">
        <f t="shared" si="46"/>
        <v>0</v>
      </c>
    </row>
    <row r="168" spans="1:31" x14ac:dyDescent="0.35">
      <c r="A168" t="str">
        <f>Lists!A15</f>
        <v>Aluminium</v>
      </c>
      <c r="B168" s="33" t="s">
        <v>474</v>
      </c>
      <c r="C168" s="8" t="s">
        <v>362</v>
      </c>
      <c r="E168" s="136">
        <v>22.130303030303029</v>
      </c>
      <c r="F168" s="14">
        <f>SUMIF('Data input'!D$3:D$202,B168,$Q$3:$Q$202)</f>
        <v>0</v>
      </c>
      <c r="G168" s="4">
        <f t="shared" si="51"/>
        <v>0</v>
      </c>
      <c r="H168" s="136">
        <v>52.239696969696972</v>
      </c>
      <c r="I168" s="136"/>
      <c r="J168" s="6">
        <f t="shared" si="47"/>
        <v>52.239696969696972</v>
      </c>
      <c r="K168" s="6">
        <f t="shared" si="50"/>
        <v>0</v>
      </c>
      <c r="L168" s="4">
        <f>SUMIF('Data input'!$D$3:$D$202,B168,$X$3:$X$202)</f>
        <v>0</v>
      </c>
      <c r="M168" s="4">
        <f>SUMIF('Data input'!$D$3:$D$202,B168,$AC$3:$AC$202)</f>
        <v>0</v>
      </c>
      <c r="N168" s="67">
        <f>SUMIF('Data input'!$D$3:$D$202,B168,$AD$3:$AD$202)</f>
        <v>0</v>
      </c>
      <c r="O168" s="30">
        <f>'Data input'!A168</f>
        <v>166</v>
      </c>
      <c r="P168" s="11">
        <f>'Data input'!G168*('Data input'!H168/1000)</f>
        <v>0</v>
      </c>
      <c r="Q168" s="11">
        <f>'Data input'!G168*('Data input'!H168/1000)*('Data input'!I168/1000)</f>
        <v>0</v>
      </c>
      <c r="R168" s="11">
        <f>'Data input'!G168*('Data input'!H168/1000)*('Data input'!I168/1000)*('Data input'!J168/1000)</f>
        <v>0</v>
      </c>
      <c r="S168" s="11" t="str">
        <f>IF(ISNA(VLOOKUP('Data input'!D168,$B$2:$C$200,2,FALSE)),"",VLOOKUP('Data input'!D168,$B$2:$C$200,2,FALSE))</f>
        <v/>
      </c>
      <c r="T168" s="11" t="str">
        <f>IF(S168="m3",Costs!R168,IF(S168="Each",'Data input'!G168,IF(S168="m",Costs!P168,IF(S168="m2",Costs!Q168,""))))</f>
        <v/>
      </c>
      <c r="U168" s="4" t="str">
        <f>IF(ISNA(VLOOKUP('Data input'!D168,$B$2:$J$200,9,FALSE)),"",VLOOKUP('Data input'!D168,$B$2:$J$200,9,FALSE))</f>
        <v/>
      </c>
      <c r="V168" s="4" t="e">
        <f t="shared" si="42"/>
        <v>#VALUE!</v>
      </c>
      <c r="W168">
        <f>'Data input'!M168</f>
        <v>0</v>
      </c>
      <c r="X168" s="4">
        <f t="shared" si="52"/>
        <v>0</v>
      </c>
      <c r="Y168" s="4" t="e">
        <f t="shared" si="43"/>
        <v>#VALUE!</v>
      </c>
      <c r="Z168" s="4" t="str">
        <f>IF(ISNA(VLOOKUP('Data input'!D168,$B$2:$E$200,4,FALSE)),"",VLOOKUP('Data input'!D168,$B$2:$E$200,4,FALSE))</f>
        <v/>
      </c>
      <c r="AA168" s="4" t="e">
        <f t="shared" si="53"/>
        <v>#VALUE!</v>
      </c>
      <c r="AB168">
        <f>'Data input'!N168</f>
        <v>0</v>
      </c>
      <c r="AC168">
        <f t="shared" si="44"/>
        <v>0</v>
      </c>
      <c r="AD168" s="4">
        <f t="shared" si="45"/>
        <v>0</v>
      </c>
      <c r="AE168" s="6">
        <f t="shared" si="46"/>
        <v>0</v>
      </c>
    </row>
    <row r="169" spans="1:31" x14ac:dyDescent="0.35">
      <c r="A169" t="str">
        <f>Lists!A15</f>
        <v>Aluminium</v>
      </c>
      <c r="B169" s="33" t="s">
        <v>475</v>
      </c>
      <c r="C169" s="8" t="s">
        <v>352</v>
      </c>
      <c r="E169" s="136">
        <v>24.759545454545457</v>
      </c>
      <c r="F169" s="14">
        <f>SUMIF('Data input'!D$3:D$202,B169,$P$3:$P$202)</f>
        <v>0</v>
      </c>
      <c r="G169" s="4">
        <f t="shared" si="51"/>
        <v>0</v>
      </c>
      <c r="H169" s="136">
        <v>6.6289393939393939</v>
      </c>
      <c r="I169" s="136"/>
      <c r="J169" s="6">
        <f t="shared" si="47"/>
        <v>6.6289393939393939</v>
      </c>
      <c r="K169" s="6">
        <f t="shared" si="50"/>
        <v>0</v>
      </c>
      <c r="L169" s="4">
        <f>SUMIF('Data input'!$D$3:$D$202,B169,$X$3:$X$202)</f>
        <v>0</v>
      </c>
      <c r="M169" s="4">
        <f>SUMIF('Data input'!$D$3:$D$202,B169,$AC$3:$AC$202)</f>
        <v>0</v>
      </c>
      <c r="N169" s="67">
        <f>SUMIF('Data input'!$D$3:$D$202,B169,$AD$3:$AD$202)</f>
        <v>0</v>
      </c>
      <c r="O169" s="30">
        <f>'Data input'!A169</f>
        <v>167</v>
      </c>
      <c r="P169" s="11">
        <f>'Data input'!G169*('Data input'!H169/1000)</f>
        <v>0</v>
      </c>
      <c r="Q169" s="11">
        <f>'Data input'!G169*('Data input'!H169/1000)*('Data input'!I169/1000)</f>
        <v>0</v>
      </c>
      <c r="R169" s="11">
        <f>'Data input'!G169*('Data input'!H169/1000)*('Data input'!I169/1000)*('Data input'!J169/1000)</f>
        <v>0</v>
      </c>
      <c r="S169" s="11" t="str">
        <f>IF(ISNA(VLOOKUP('Data input'!D169,$B$2:$C$200,2,FALSE)),"",VLOOKUP('Data input'!D169,$B$2:$C$200,2,FALSE))</f>
        <v/>
      </c>
      <c r="T169" s="11" t="str">
        <f>IF(S169="m3",Costs!R169,IF(S169="Each",'Data input'!G169,IF(S169="m",Costs!P169,IF(S169="m2",Costs!Q169,""))))</f>
        <v/>
      </c>
      <c r="U169" s="4" t="str">
        <f>IF(ISNA(VLOOKUP('Data input'!D169,$B$2:$J$200,9,FALSE)),"",VLOOKUP('Data input'!D169,$B$2:$J$200,9,FALSE))</f>
        <v/>
      </c>
      <c r="V169" s="4" t="e">
        <f t="shared" si="42"/>
        <v>#VALUE!</v>
      </c>
      <c r="W169">
        <f>'Data input'!M169</f>
        <v>0</v>
      </c>
      <c r="X169" s="4">
        <f t="shared" si="52"/>
        <v>0</v>
      </c>
      <c r="Y169" s="4" t="e">
        <f t="shared" si="43"/>
        <v>#VALUE!</v>
      </c>
      <c r="Z169" s="4" t="str">
        <f>IF(ISNA(VLOOKUP('Data input'!D169,$B$2:$E$200,4,FALSE)),"",VLOOKUP('Data input'!D169,$B$2:$E$200,4,FALSE))</f>
        <v/>
      </c>
      <c r="AA169" s="4" t="e">
        <f t="shared" si="53"/>
        <v>#VALUE!</v>
      </c>
      <c r="AB169">
        <f>'Data input'!N169</f>
        <v>0</v>
      </c>
      <c r="AC169">
        <f t="shared" si="44"/>
        <v>0</v>
      </c>
      <c r="AD169" s="4">
        <f t="shared" si="45"/>
        <v>0</v>
      </c>
      <c r="AE169" s="6">
        <f t="shared" si="46"/>
        <v>0</v>
      </c>
    </row>
    <row r="170" spans="1:31" x14ac:dyDescent="0.35">
      <c r="A170" t="str">
        <f>Lists!A$17</f>
        <v>Iron_and_steel</v>
      </c>
      <c r="B170" s="33" t="s">
        <v>476</v>
      </c>
      <c r="C170" s="8" t="s">
        <v>352</v>
      </c>
      <c r="E170" s="136">
        <v>42.43333333333333</v>
      </c>
      <c r="F170" s="14">
        <f>SUMIF('Data input'!D$3:D$202,B170,$P$3:$P$202)</f>
        <v>0</v>
      </c>
      <c r="G170" s="4">
        <f t="shared" si="51"/>
        <v>0</v>
      </c>
      <c r="H170" s="136">
        <v>9.3596969696969694</v>
      </c>
      <c r="I170" s="136"/>
      <c r="J170" s="6">
        <f t="shared" si="47"/>
        <v>9.3596969696969694</v>
      </c>
      <c r="K170" s="6">
        <f t="shared" si="50"/>
        <v>0</v>
      </c>
      <c r="L170" s="4">
        <f>SUMIF('Data input'!$D$3:$D$202,B170,$X$3:$X$202)</f>
        <v>0</v>
      </c>
      <c r="M170" s="4">
        <f>SUMIF('Data input'!$D$3:$D$202,B170,$AC$3:$AC$202)</f>
        <v>0</v>
      </c>
      <c r="N170" s="67">
        <f>SUMIF('Data input'!$D$3:$D$202,B170,$AD$3:$AD$202)</f>
        <v>0</v>
      </c>
      <c r="O170" s="30">
        <f>'Data input'!A170</f>
        <v>168</v>
      </c>
      <c r="P170" s="11">
        <f>'Data input'!G170*('Data input'!H170/1000)</f>
        <v>0</v>
      </c>
      <c r="Q170" s="11">
        <f>'Data input'!G170*('Data input'!H170/1000)*('Data input'!I170/1000)</f>
        <v>0</v>
      </c>
      <c r="R170" s="11">
        <f>'Data input'!G170*('Data input'!H170/1000)*('Data input'!I170/1000)*('Data input'!J170/1000)</f>
        <v>0</v>
      </c>
      <c r="S170" s="11" t="str">
        <f>IF(ISNA(VLOOKUP('Data input'!D170,$B$2:$C$200,2,FALSE)),"",VLOOKUP('Data input'!D170,$B$2:$C$200,2,FALSE))</f>
        <v/>
      </c>
      <c r="T170" s="11" t="str">
        <f>IF(S170="m3",Costs!R170,IF(S170="Each",'Data input'!G170,IF(S170="m",Costs!P170,IF(S170="m2",Costs!Q170,""))))</f>
        <v/>
      </c>
      <c r="U170" s="4" t="str">
        <f>IF(ISNA(VLOOKUP('Data input'!D170,$B$2:$J$200,9,FALSE)),"",VLOOKUP('Data input'!D170,$B$2:$J$200,9,FALSE))</f>
        <v/>
      </c>
      <c r="V170" s="4" t="e">
        <f t="shared" si="42"/>
        <v>#VALUE!</v>
      </c>
      <c r="W170">
        <f>'Data input'!M170</f>
        <v>0</v>
      </c>
      <c r="X170" s="4">
        <f t="shared" si="52"/>
        <v>0</v>
      </c>
      <c r="Y170" s="4" t="e">
        <f t="shared" si="43"/>
        <v>#VALUE!</v>
      </c>
      <c r="Z170" s="4" t="str">
        <f>IF(ISNA(VLOOKUP('Data input'!D170,$B$2:$E$200,4,FALSE)),"",VLOOKUP('Data input'!D170,$B$2:$E$200,4,FALSE))</f>
        <v/>
      </c>
      <c r="AA170" s="4" t="e">
        <f t="shared" si="53"/>
        <v>#VALUE!</v>
      </c>
      <c r="AB170">
        <f>'Data input'!N170</f>
        <v>0</v>
      </c>
      <c r="AC170">
        <f t="shared" si="44"/>
        <v>0</v>
      </c>
      <c r="AD170" s="4">
        <f t="shared" si="45"/>
        <v>0</v>
      </c>
      <c r="AE170" s="6">
        <f t="shared" si="46"/>
        <v>0</v>
      </c>
    </row>
    <row r="171" spans="1:31" x14ac:dyDescent="0.35">
      <c r="A171" t="str">
        <f>Lists!A$17</f>
        <v>Iron_and_steel</v>
      </c>
      <c r="B171" s="33" t="s">
        <v>477</v>
      </c>
      <c r="C171" s="8" t="s">
        <v>352</v>
      </c>
      <c r="E171" s="136">
        <v>30.322575757575759</v>
      </c>
      <c r="F171" s="14">
        <f>SUMIF('Data input'!D$3:D$202,B171,$P$3:$P$202)</f>
        <v>0</v>
      </c>
      <c r="G171" s="4">
        <f t="shared" si="51"/>
        <v>0</v>
      </c>
      <c r="H171" s="136">
        <v>4.5377272727272722</v>
      </c>
      <c r="I171" s="136"/>
      <c r="J171" s="6">
        <f t="shared" si="47"/>
        <v>4.5377272727272722</v>
      </c>
      <c r="K171" s="6">
        <f t="shared" si="50"/>
        <v>0</v>
      </c>
      <c r="L171" s="4">
        <f>SUMIF('Data input'!$D$3:$D$202,B171,$X$3:$X$202)</f>
        <v>0</v>
      </c>
      <c r="M171" s="4">
        <f>SUMIF('Data input'!$D$3:$D$202,B171,$AC$3:$AC$202)</f>
        <v>0</v>
      </c>
      <c r="N171" s="67">
        <f>SUMIF('Data input'!$D$3:$D$202,B171,$AD$3:$AD$202)</f>
        <v>0</v>
      </c>
      <c r="O171" s="30">
        <f>'Data input'!A171</f>
        <v>169</v>
      </c>
      <c r="P171" s="11">
        <f>'Data input'!G171*('Data input'!H171/1000)</f>
        <v>0</v>
      </c>
      <c r="Q171" s="11">
        <f>'Data input'!G171*('Data input'!H171/1000)*('Data input'!I171/1000)</f>
        <v>0</v>
      </c>
      <c r="R171" s="11">
        <f>'Data input'!G171*('Data input'!H171/1000)*('Data input'!I171/1000)*('Data input'!J171/1000)</f>
        <v>0</v>
      </c>
      <c r="S171" s="11" t="str">
        <f>IF(ISNA(VLOOKUP('Data input'!D171,$B$2:$C$200,2,FALSE)),"",VLOOKUP('Data input'!D171,$B$2:$C$200,2,FALSE))</f>
        <v/>
      </c>
      <c r="T171" s="11" t="str">
        <f>IF(S171="m3",Costs!R171,IF(S171="Each",'Data input'!G171,IF(S171="m",Costs!P171,IF(S171="m2",Costs!Q171,""))))</f>
        <v/>
      </c>
      <c r="U171" s="4" t="str">
        <f>IF(ISNA(VLOOKUP('Data input'!D171,$B$2:$J$200,9,FALSE)),"",VLOOKUP('Data input'!D171,$B$2:$J$200,9,FALSE))</f>
        <v/>
      </c>
      <c r="V171" s="4" t="e">
        <f t="shared" si="42"/>
        <v>#VALUE!</v>
      </c>
      <c r="W171">
        <f>'Data input'!M171</f>
        <v>0</v>
      </c>
      <c r="X171" s="4">
        <f t="shared" si="52"/>
        <v>0</v>
      </c>
      <c r="Y171" s="4" t="e">
        <f t="shared" si="43"/>
        <v>#VALUE!</v>
      </c>
      <c r="Z171" s="4" t="str">
        <f>IF(ISNA(VLOOKUP('Data input'!D171,$B$2:$E$200,4,FALSE)),"",VLOOKUP('Data input'!D171,$B$2:$E$200,4,FALSE))</f>
        <v/>
      </c>
      <c r="AA171" s="4" t="e">
        <f t="shared" si="53"/>
        <v>#VALUE!</v>
      </c>
      <c r="AB171">
        <f>'Data input'!N171</f>
        <v>0</v>
      </c>
      <c r="AC171">
        <f t="shared" si="44"/>
        <v>0</v>
      </c>
      <c r="AD171" s="4">
        <f t="shared" si="45"/>
        <v>0</v>
      </c>
      <c r="AE171" s="6">
        <f t="shared" si="46"/>
        <v>0</v>
      </c>
    </row>
    <row r="172" spans="1:31" x14ac:dyDescent="0.35">
      <c r="A172" t="str">
        <f>Lists!A16</f>
        <v>Lead</v>
      </c>
      <c r="B172" s="33" t="s">
        <v>478</v>
      </c>
      <c r="C172" s="10" t="s">
        <v>362</v>
      </c>
      <c r="D172" s="24"/>
      <c r="E172" s="136">
        <v>61.061363636363637</v>
      </c>
      <c r="F172" s="25">
        <f>SUMIF('Data input'!D$3:D$202,B172,$Q$3:$Q$202)</f>
        <v>0</v>
      </c>
      <c r="G172" s="4">
        <f t="shared" si="51"/>
        <v>0</v>
      </c>
      <c r="H172" s="136">
        <v>49.366818181818182</v>
      </c>
      <c r="I172" s="136"/>
      <c r="J172" s="6">
        <f t="shared" si="47"/>
        <v>49.366818181818182</v>
      </c>
      <c r="K172" s="6">
        <f t="shared" si="50"/>
        <v>0</v>
      </c>
      <c r="L172" s="24">
        <f>SUMIF('Data input'!$D$3:$D$202,B172,$X$3:$X$202)</f>
        <v>0</v>
      </c>
      <c r="M172" s="24">
        <f>SUMIF('Data input'!$D$3:$D$202,B172,$AC$3:$AC$202)</f>
        <v>0</v>
      </c>
      <c r="N172" s="68">
        <f>SUMIF('Data input'!$D$3:$D$202,B172,$AD$3:$AD$202)</f>
        <v>0</v>
      </c>
      <c r="O172" s="30">
        <f>'Data input'!A172</f>
        <v>170</v>
      </c>
      <c r="P172" s="11">
        <f>'Data input'!G172*('Data input'!H172/1000)</f>
        <v>0</v>
      </c>
      <c r="Q172" s="11">
        <f>'Data input'!G172*('Data input'!H172/1000)*('Data input'!I172/1000)</f>
        <v>0</v>
      </c>
      <c r="R172" s="11">
        <f>'Data input'!G172*('Data input'!H172/1000)*('Data input'!I172/1000)*('Data input'!J172/1000)</f>
        <v>0</v>
      </c>
      <c r="S172" s="11" t="str">
        <f>IF(ISNA(VLOOKUP('Data input'!D172,$B$2:$C$200,2,FALSE)),"",VLOOKUP('Data input'!D172,$B$2:$C$200,2,FALSE))</f>
        <v/>
      </c>
      <c r="T172" s="11" t="str">
        <f>IF(S172="m3",Costs!R172,IF(S172="Each",'Data input'!G172,IF(S172="m",Costs!P172,IF(S172="m2",Costs!Q172,""))))</f>
        <v/>
      </c>
      <c r="U172" s="4" t="str">
        <f>IF(ISNA(VLOOKUP('Data input'!D172,$B$2:$J$200,9,FALSE)),"",VLOOKUP('Data input'!D172,$B$2:$J$200,9,FALSE))</f>
        <v/>
      </c>
      <c r="V172" s="4" t="e">
        <f t="shared" si="42"/>
        <v>#VALUE!</v>
      </c>
      <c r="W172">
        <f>'Data input'!M172</f>
        <v>0</v>
      </c>
      <c r="X172" s="4">
        <f t="shared" si="52"/>
        <v>0</v>
      </c>
      <c r="Y172" s="4" t="e">
        <f t="shared" si="43"/>
        <v>#VALUE!</v>
      </c>
      <c r="Z172" s="4" t="str">
        <f>IF(ISNA(VLOOKUP('Data input'!D172,$B$2:$E$200,4,FALSE)),"",VLOOKUP('Data input'!D172,$B$2:$E$200,4,FALSE))</f>
        <v/>
      </c>
      <c r="AA172" s="4" t="e">
        <f t="shared" si="53"/>
        <v>#VALUE!</v>
      </c>
      <c r="AB172">
        <f>'Data input'!N172</f>
        <v>0</v>
      </c>
      <c r="AC172">
        <f t="shared" si="44"/>
        <v>0</v>
      </c>
      <c r="AD172" s="4">
        <f t="shared" si="45"/>
        <v>0</v>
      </c>
      <c r="AE172" s="6">
        <f t="shared" si="46"/>
        <v>0</v>
      </c>
    </row>
    <row r="173" spans="1:31" x14ac:dyDescent="0.35">
      <c r="A173" t="str">
        <f>Lists!A$23</f>
        <v>Gypsum_materials</v>
      </c>
      <c r="B173" s="33" t="s">
        <v>479</v>
      </c>
      <c r="C173" s="8" t="s">
        <v>342</v>
      </c>
      <c r="E173" s="136">
        <v>8.2100000000000009</v>
      </c>
      <c r="F173" s="14">
        <f>SUMIF('Data input'!D$3:D$202,B173,'Data input'!G$3:G$202)</f>
        <v>0</v>
      </c>
      <c r="G173" s="4">
        <f t="shared" si="51"/>
        <v>0</v>
      </c>
      <c r="H173" s="136">
        <v>29.85</v>
      </c>
      <c r="I173" s="136"/>
      <c r="J173" s="6">
        <f t="shared" si="47"/>
        <v>29.85</v>
      </c>
      <c r="K173" s="6">
        <f t="shared" si="50"/>
        <v>0</v>
      </c>
      <c r="L173" s="24">
        <f>SUMIF('Data input'!$D$3:$D$202,B173,$X$3:$X$202)</f>
        <v>0</v>
      </c>
      <c r="M173" s="24">
        <f>SUMIF('Data input'!$D$3:$D$202,B173,$AC$3:$AC$202)</f>
        <v>0</v>
      </c>
      <c r="N173" s="68">
        <f>SUMIF('Data input'!$D$3:$D$202,B173,$AD$3:$AD$202)</f>
        <v>0</v>
      </c>
      <c r="O173" s="30">
        <f>'Data input'!A173</f>
        <v>171</v>
      </c>
      <c r="P173" s="11">
        <f>'Data input'!G173*('Data input'!H173/1000)</f>
        <v>0</v>
      </c>
      <c r="Q173" s="11">
        <f>'Data input'!G173*('Data input'!H173/1000)*('Data input'!I173/1000)</f>
        <v>0</v>
      </c>
      <c r="R173" s="11">
        <f>'Data input'!G173*('Data input'!H173/1000)*('Data input'!I173/1000)*('Data input'!J173/1000)</f>
        <v>0</v>
      </c>
      <c r="S173" s="11" t="str">
        <f>IF(ISNA(VLOOKUP('Data input'!D173,$B$2:$C$200,2,FALSE)),"",VLOOKUP('Data input'!D173,$B$2:$C$200,2,FALSE))</f>
        <v/>
      </c>
      <c r="T173" s="11" t="str">
        <f>IF(S173="m3",Costs!R173,IF(S173="Each",'Data input'!G173,IF(S173="m",Costs!P173,IF(S173="m2",Costs!Q173,""))))</f>
        <v/>
      </c>
      <c r="U173" s="4" t="str">
        <f>IF(ISNA(VLOOKUP('Data input'!D173,$B$2:$J$200,9,FALSE)),"",VLOOKUP('Data input'!D173,$B$2:$J$200,9,FALSE))</f>
        <v/>
      </c>
      <c r="V173" s="4" t="e">
        <f t="shared" si="42"/>
        <v>#VALUE!</v>
      </c>
      <c r="W173">
        <f>'Data input'!M173</f>
        <v>0</v>
      </c>
      <c r="X173" s="4">
        <f t="shared" si="52"/>
        <v>0</v>
      </c>
      <c r="Y173" s="4" t="e">
        <f t="shared" si="43"/>
        <v>#VALUE!</v>
      </c>
      <c r="Z173" s="4" t="str">
        <f>IF(ISNA(VLOOKUP('Data input'!D173,$B$2:$E$200,4,FALSE)),"",VLOOKUP('Data input'!D173,$B$2:$E$200,4,FALSE))</f>
        <v/>
      </c>
      <c r="AA173" s="4" t="e">
        <f t="shared" si="53"/>
        <v>#VALUE!</v>
      </c>
      <c r="AB173">
        <f>'Data input'!N173</f>
        <v>0</v>
      </c>
      <c r="AC173">
        <f t="shared" si="44"/>
        <v>0</v>
      </c>
      <c r="AD173" s="4">
        <f t="shared" si="45"/>
        <v>0</v>
      </c>
      <c r="AE173" s="6">
        <f t="shared" si="46"/>
        <v>0</v>
      </c>
    </row>
    <row r="174" spans="1:31" x14ac:dyDescent="0.35">
      <c r="A174" t="str">
        <f>Lists!A35</f>
        <v>Other_Each</v>
      </c>
      <c r="B174" t="s">
        <v>480</v>
      </c>
      <c r="C174" s="8" t="s">
        <v>439</v>
      </c>
      <c r="E174" s="139"/>
      <c r="H174" s="139"/>
      <c r="I174" s="139"/>
      <c r="O174" s="30">
        <f>'Data input'!A174</f>
        <v>172</v>
      </c>
      <c r="P174" s="11">
        <f>'Data input'!G174*('Data input'!H174/1000)</f>
        <v>0</v>
      </c>
      <c r="Q174" s="11">
        <f>'Data input'!G174*('Data input'!H174/1000)*('Data input'!I174/1000)</f>
        <v>0</v>
      </c>
      <c r="R174" s="11">
        <f>'Data input'!G174*('Data input'!H174/1000)*('Data input'!I174/1000)*('Data input'!J174/1000)</f>
        <v>0</v>
      </c>
      <c r="S174" s="11" t="str">
        <f>IF(ISNA(VLOOKUP('Data input'!D174,$B$2:$C$200,2,FALSE)),"",VLOOKUP('Data input'!D174,$B$2:$C$200,2,FALSE))</f>
        <v/>
      </c>
      <c r="T174" s="11" t="str">
        <f>IF(S174="m3",Costs!R174,IF(S174="Each",'Data input'!G174,IF(S174="m",Costs!P174,IF(S174="m2",Costs!Q174,""))))</f>
        <v/>
      </c>
      <c r="U174" s="4" t="str">
        <f>IF(ISNA(VLOOKUP('Data input'!D174,$B$2:$J$200,9,FALSE)),"",VLOOKUP('Data input'!D174,$B$2:$J$200,9,FALSE))</f>
        <v/>
      </c>
      <c r="V174" s="4" t="e">
        <f t="shared" si="42"/>
        <v>#VALUE!</v>
      </c>
      <c r="W174">
        <f>'Data input'!M174</f>
        <v>0</v>
      </c>
      <c r="X174" s="4">
        <f t="shared" si="52"/>
        <v>0</v>
      </c>
      <c r="Y174" s="4" t="e">
        <f t="shared" si="43"/>
        <v>#VALUE!</v>
      </c>
      <c r="Z174" s="4" t="str">
        <f>IF(ISNA(VLOOKUP('Data input'!D174,$B$2:$E$200,4,FALSE)),"",VLOOKUP('Data input'!D174,$B$2:$E$200,4,FALSE))</f>
        <v/>
      </c>
      <c r="AA174" s="4" t="e">
        <f t="shared" si="53"/>
        <v>#VALUE!</v>
      </c>
      <c r="AB174">
        <f>'Data input'!N174</f>
        <v>0</v>
      </c>
      <c r="AC174">
        <f t="shared" si="44"/>
        <v>0</v>
      </c>
      <c r="AD174" s="4">
        <f t="shared" si="45"/>
        <v>0</v>
      </c>
      <c r="AE174" s="6">
        <f t="shared" si="46"/>
        <v>0</v>
      </c>
    </row>
    <row r="175" spans="1:31" x14ac:dyDescent="0.35">
      <c r="A175" t="str">
        <f>Lists!AC60</f>
        <v>Packaging_wooden</v>
      </c>
      <c r="B175" s="33" t="s">
        <v>481</v>
      </c>
      <c r="C175" s="8" t="s">
        <v>439</v>
      </c>
      <c r="E175" s="139"/>
      <c r="H175" s="139"/>
      <c r="I175" s="139"/>
      <c r="O175" s="30">
        <f>'Data input'!A175</f>
        <v>173</v>
      </c>
      <c r="P175" s="11">
        <f>'Data input'!G175*('Data input'!H175/1000)</f>
        <v>0</v>
      </c>
      <c r="Q175" s="11">
        <f>'Data input'!G175*('Data input'!H175/1000)*('Data input'!I175/1000)</f>
        <v>0</v>
      </c>
      <c r="R175" s="11">
        <f>'Data input'!G175*('Data input'!H175/1000)*('Data input'!I175/1000)*('Data input'!J175/1000)</f>
        <v>0</v>
      </c>
      <c r="S175" s="11" t="str">
        <f>IF(ISNA(VLOOKUP('Data input'!D175,$B$2:$C$200,2,FALSE)),"",VLOOKUP('Data input'!D175,$B$2:$C$200,2,FALSE))</f>
        <v/>
      </c>
      <c r="T175" s="11" t="str">
        <f>IF(S175="m3",Costs!R175,IF(S175="Each",'Data input'!G175,IF(S175="m",Costs!P175,IF(S175="m2",Costs!Q175,""))))</f>
        <v/>
      </c>
      <c r="U175" s="4" t="str">
        <f>IF(ISNA(VLOOKUP('Data input'!D175,$B$2:$J$200,9,FALSE)),"",VLOOKUP('Data input'!D175,$B$2:$J$200,9,FALSE))</f>
        <v/>
      </c>
      <c r="V175" s="4" t="e">
        <f t="shared" si="42"/>
        <v>#VALUE!</v>
      </c>
      <c r="W175">
        <f>'Data input'!M175</f>
        <v>0</v>
      </c>
      <c r="X175" s="4">
        <f t="shared" si="52"/>
        <v>0</v>
      </c>
      <c r="Y175" s="4" t="e">
        <f t="shared" si="43"/>
        <v>#VALUE!</v>
      </c>
      <c r="Z175" s="4" t="str">
        <f>IF(ISNA(VLOOKUP('Data input'!D175,$B$2:$E$200,4,FALSE)),"",VLOOKUP('Data input'!D175,$B$2:$E$200,4,FALSE))</f>
        <v/>
      </c>
      <c r="AA175" s="4" t="e">
        <f t="shared" si="53"/>
        <v>#VALUE!</v>
      </c>
      <c r="AB175">
        <f>'Data input'!N175</f>
        <v>0</v>
      </c>
      <c r="AC175">
        <f t="shared" si="44"/>
        <v>0</v>
      </c>
      <c r="AD175" s="4">
        <f t="shared" si="45"/>
        <v>0</v>
      </c>
      <c r="AE175" s="6">
        <f t="shared" si="46"/>
        <v>0</v>
      </c>
    </row>
    <row r="176" spans="1:31" x14ac:dyDescent="0.35">
      <c r="A176" t="str">
        <f>Lists!A$23</f>
        <v>Gypsum_materials</v>
      </c>
      <c r="B176" s="33" t="s">
        <v>482</v>
      </c>
      <c r="C176" s="8" t="s">
        <v>372</v>
      </c>
      <c r="E176" s="136">
        <v>286.95999999999998</v>
      </c>
      <c r="F176" s="14">
        <f>SUMIF('Data input'!D$3:D$202,B176,'Data input'!G$3:G$202)</f>
        <v>0</v>
      </c>
      <c r="G176" s="4">
        <f t="shared" ref="G176" si="54">E176*F176</f>
        <v>0</v>
      </c>
      <c r="H176" s="136">
        <v>29.85</v>
      </c>
      <c r="I176" s="136"/>
      <c r="J176" s="6">
        <f t="shared" ref="J176" si="55">H176+I176</f>
        <v>29.85</v>
      </c>
      <c r="K176" s="6">
        <f t="shared" ref="K176" si="56">F176*J176</f>
        <v>0</v>
      </c>
      <c r="L176" s="24">
        <f>SUMIF('Data input'!$D$3:$D$202,B176,$X$3:$X$202)</f>
        <v>0</v>
      </c>
      <c r="M176" s="24">
        <f>SUMIF('Data input'!$D$3:$D$202,B176,$AC$3:$AC$202)</f>
        <v>0</v>
      </c>
      <c r="N176" s="68">
        <f>SUMIF('Data input'!$D$3:$D$202,B176,$AD$3:$AD$202)</f>
        <v>0</v>
      </c>
      <c r="O176" s="30">
        <f>'Data input'!A176</f>
        <v>174</v>
      </c>
      <c r="P176" s="11">
        <f>'Data input'!G176*('Data input'!H176/1000)</f>
        <v>0</v>
      </c>
      <c r="Q176" s="11">
        <f>'Data input'!G176*('Data input'!H176/1000)*('Data input'!I176/1000)</f>
        <v>0</v>
      </c>
      <c r="R176" s="11">
        <f>'Data input'!G176*('Data input'!H176/1000)*('Data input'!I176/1000)*('Data input'!J176/1000)</f>
        <v>0</v>
      </c>
      <c r="S176" s="11" t="str">
        <f>IF(ISNA(VLOOKUP('Data input'!D176,$B$2:$C$200,2,FALSE)),"",VLOOKUP('Data input'!D176,$B$2:$C$200,2,FALSE))</f>
        <v/>
      </c>
      <c r="T176" s="11" t="str">
        <f>IF(S176="m3",Costs!R176,IF(S176="Each",'Data input'!G176,IF(S176="m",Costs!P176,IF(S176="m2",Costs!Q176,""))))</f>
        <v/>
      </c>
      <c r="U176" s="4" t="str">
        <f>IF(ISNA(VLOOKUP('Data input'!D176,$B$2:$J$200,9,FALSE)),"",VLOOKUP('Data input'!D176,$B$2:$J$200,9,FALSE))</f>
        <v/>
      </c>
      <c r="V176" s="4" t="e">
        <f t="shared" si="42"/>
        <v>#VALUE!</v>
      </c>
      <c r="W176">
        <f>'Data input'!M176</f>
        <v>0</v>
      </c>
      <c r="X176" s="4">
        <f t="shared" si="52"/>
        <v>0</v>
      </c>
      <c r="Y176" s="4" t="e">
        <f t="shared" si="43"/>
        <v>#VALUE!</v>
      </c>
      <c r="Z176" s="4" t="str">
        <f>IF(ISNA(VLOOKUP('Data input'!D176,$B$2:$E$200,4,FALSE)),"",VLOOKUP('Data input'!D176,$B$2:$E$200,4,FALSE))</f>
        <v/>
      </c>
      <c r="AA176" s="4" t="e">
        <f t="shared" si="53"/>
        <v>#VALUE!</v>
      </c>
      <c r="AB176">
        <f>'Data input'!N176</f>
        <v>0</v>
      </c>
      <c r="AC176">
        <f t="shared" si="44"/>
        <v>0</v>
      </c>
      <c r="AD176" s="4">
        <f t="shared" si="45"/>
        <v>0</v>
      </c>
      <c r="AE176" s="6">
        <f t="shared" si="46"/>
        <v>0</v>
      </c>
    </row>
    <row r="177" spans="15:31" x14ac:dyDescent="0.35">
      <c r="O177" s="30">
        <f>'Data input'!A177</f>
        <v>175</v>
      </c>
      <c r="P177" s="11">
        <f>'Data input'!G177*('Data input'!H177/1000)</f>
        <v>0</v>
      </c>
      <c r="Q177" s="11">
        <f>'Data input'!G177*('Data input'!H177/1000)*('Data input'!I177/1000)</f>
        <v>0</v>
      </c>
      <c r="R177" s="11">
        <f>'Data input'!G177*('Data input'!H177/1000)*('Data input'!I177/1000)*('Data input'!J177/1000)</f>
        <v>0</v>
      </c>
      <c r="S177" s="11" t="str">
        <f>IF(ISNA(VLOOKUP('Data input'!D177,$B$2:$C$200,2,FALSE)),"",VLOOKUP('Data input'!D177,$B$2:$C$200,2,FALSE))</f>
        <v/>
      </c>
      <c r="T177" s="11" t="str">
        <f>IF(S177="m3",Costs!R177,IF(S177="Each",'Data input'!G177,IF(S177="m",Costs!P177,IF(S177="m2",Costs!Q177,""))))</f>
        <v/>
      </c>
      <c r="U177" s="4" t="str">
        <f>IF(ISNA(VLOOKUP('Data input'!D177,$B$2:$J$200,9,FALSE)),"",VLOOKUP('Data input'!D177,$B$2:$J$200,9,FALSE))</f>
        <v/>
      </c>
      <c r="V177" s="4" t="e">
        <f t="shared" si="42"/>
        <v>#VALUE!</v>
      </c>
      <c r="W177">
        <f>'Data input'!M177</f>
        <v>0</v>
      </c>
      <c r="X177" s="4">
        <f t="shared" si="52"/>
        <v>0</v>
      </c>
      <c r="Y177" s="4" t="e">
        <f t="shared" si="43"/>
        <v>#VALUE!</v>
      </c>
      <c r="Z177" s="4" t="str">
        <f>IF(ISNA(VLOOKUP('Data input'!D177,$B$2:$E$200,4,FALSE)),"",VLOOKUP('Data input'!D177,$B$2:$E$200,4,FALSE))</f>
        <v/>
      </c>
      <c r="AA177" s="4" t="e">
        <f t="shared" si="53"/>
        <v>#VALUE!</v>
      </c>
      <c r="AB177">
        <f>'Data input'!N177</f>
        <v>0</v>
      </c>
      <c r="AC177">
        <f t="shared" si="44"/>
        <v>0</v>
      </c>
      <c r="AD177" s="4">
        <f t="shared" si="45"/>
        <v>0</v>
      </c>
      <c r="AE177" s="6">
        <f t="shared" si="46"/>
        <v>0</v>
      </c>
    </row>
    <row r="178" spans="15:31" x14ac:dyDescent="0.35">
      <c r="O178" s="30">
        <f>'Data input'!A178</f>
        <v>176</v>
      </c>
      <c r="P178" s="11">
        <f>'Data input'!G178*('Data input'!H178/1000)</f>
        <v>0</v>
      </c>
      <c r="Q178" s="11">
        <f>'Data input'!G178*('Data input'!H178/1000)*('Data input'!I178/1000)</f>
        <v>0</v>
      </c>
      <c r="R178" s="11">
        <f>'Data input'!G178*('Data input'!H178/1000)*('Data input'!I178/1000)*('Data input'!J178/1000)</f>
        <v>0</v>
      </c>
      <c r="S178" s="11" t="str">
        <f>IF(ISNA(VLOOKUP('Data input'!D178,$B$2:$C$200,2,FALSE)),"",VLOOKUP('Data input'!D178,$B$2:$C$200,2,FALSE))</f>
        <v/>
      </c>
      <c r="T178" s="11" t="str">
        <f>IF(S178="m3",Costs!R178,IF(S178="Each",'Data input'!G178,IF(S178="m",Costs!P178,IF(S178="m2",Costs!Q178,""))))</f>
        <v/>
      </c>
      <c r="U178" s="4" t="str">
        <f>IF(ISNA(VLOOKUP('Data input'!D178,$B$2:$J$200,9,FALSE)),"",VLOOKUP('Data input'!D178,$B$2:$J$200,9,FALSE))</f>
        <v/>
      </c>
      <c r="V178" s="4" t="e">
        <f t="shared" si="42"/>
        <v>#VALUE!</v>
      </c>
      <c r="W178">
        <f>'Data input'!M178</f>
        <v>0</v>
      </c>
      <c r="X178" s="4">
        <f t="shared" si="52"/>
        <v>0</v>
      </c>
      <c r="Y178" s="4" t="e">
        <f t="shared" si="43"/>
        <v>#VALUE!</v>
      </c>
      <c r="Z178" s="4" t="str">
        <f>IF(ISNA(VLOOKUP('Data input'!D178,$B$2:$E$200,4,FALSE)),"",VLOOKUP('Data input'!D178,$B$2:$E$200,4,FALSE))</f>
        <v/>
      </c>
      <c r="AA178" s="4" t="e">
        <f t="shared" si="53"/>
        <v>#VALUE!</v>
      </c>
      <c r="AB178">
        <f>'Data input'!N178</f>
        <v>0</v>
      </c>
      <c r="AC178">
        <f t="shared" si="44"/>
        <v>0</v>
      </c>
      <c r="AD178" s="4">
        <f t="shared" si="45"/>
        <v>0</v>
      </c>
      <c r="AE178" s="6">
        <f t="shared" si="46"/>
        <v>0</v>
      </c>
    </row>
    <row r="179" spans="15:31" x14ac:dyDescent="0.35">
      <c r="O179" s="30">
        <f>'Data input'!A179</f>
        <v>177</v>
      </c>
      <c r="P179" s="11">
        <f>'Data input'!G179*('Data input'!H179/1000)</f>
        <v>0</v>
      </c>
      <c r="Q179" s="11">
        <f>'Data input'!G179*('Data input'!H179/1000)*('Data input'!I179/1000)</f>
        <v>0</v>
      </c>
      <c r="R179" s="11">
        <f>'Data input'!G179*('Data input'!H179/1000)*('Data input'!I179/1000)*('Data input'!J179/1000)</f>
        <v>0</v>
      </c>
      <c r="S179" s="11" t="str">
        <f>IF(ISNA(VLOOKUP('Data input'!D179,$B$2:$C$200,2,FALSE)),"",VLOOKUP('Data input'!D179,$B$2:$C$200,2,FALSE))</f>
        <v/>
      </c>
      <c r="T179" s="11" t="str">
        <f>IF(S179="m3",Costs!R179,IF(S179="Each",'Data input'!G179,IF(S179="m",Costs!P179,IF(S179="m2",Costs!Q179,""))))</f>
        <v/>
      </c>
      <c r="U179" s="4" t="str">
        <f>IF(ISNA(VLOOKUP('Data input'!D179,$B$2:$J$200,9,FALSE)),"",VLOOKUP('Data input'!D179,$B$2:$J$200,9,FALSE))</f>
        <v/>
      </c>
      <c r="V179" s="4" t="e">
        <f t="shared" si="42"/>
        <v>#VALUE!</v>
      </c>
      <c r="W179">
        <f>'Data input'!M179</f>
        <v>0</v>
      </c>
      <c r="X179" s="4">
        <f t="shared" si="52"/>
        <v>0</v>
      </c>
      <c r="Y179" s="4" t="e">
        <f t="shared" si="43"/>
        <v>#VALUE!</v>
      </c>
      <c r="Z179" s="4" t="str">
        <f>IF(ISNA(VLOOKUP('Data input'!D179,$B$2:$E$200,4,FALSE)),"",VLOOKUP('Data input'!D179,$B$2:$E$200,4,FALSE))</f>
        <v/>
      </c>
      <c r="AA179" s="4" t="e">
        <f t="shared" si="53"/>
        <v>#VALUE!</v>
      </c>
      <c r="AB179">
        <f>'Data input'!N179</f>
        <v>0</v>
      </c>
      <c r="AC179">
        <f t="shared" si="44"/>
        <v>0</v>
      </c>
      <c r="AD179" s="4">
        <f t="shared" si="45"/>
        <v>0</v>
      </c>
      <c r="AE179" s="6">
        <f t="shared" si="46"/>
        <v>0</v>
      </c>
    </row>
    <row r="180" spans="15:31" x14ac:dyDescent="0.35">
      <c r="O180" s="30">
        <f>'Data input'!A180</f>
        <v>178</v>
      </c>
      <c r="P180" s="11">
        <f>'Data input'!G180*('Data input'!H180/1000)</f>
        <v>0</v>
      </c>
      <c r="Q180" s="11">
        <f>'Data input'!G180*('Data input'!H180/1000)*('Data input'!I180/1000)</f>
        <v>0</v>
      </c>
      <c r="R180" s="11">
        <f>'Data input'!G180*('Data input'!H180/1000)*('Data input'!I180/1000)*('Data input'!J180/1000)</f>
        <v>0</v>
      </c>
      <c r="S180" s="11" t="str">
        <f>IF(ISNA(VLOOKUP('Data input'!D180,$B$2:$C$200,2,FALSE)),"",VLOOKUP('Data input'!D180,$B$2:$C$200,2,FALSE))</f>
        <v/>
      </c>
      <c r="T180" s="11" t="str">
        <f>IF(S180="m3",Costs!R180,IF(S180="Each",'Data input'!G180,IF(S180="m",Costs!P180,IF(S180="m2",Costs!Q180,""))))</f>
        <v/>
      </c>
      <c r="U180" s="4" t="str">
        <f>IF(ISNA(VLOOKUP('Data input'!D180,$B$2:$J$200,9,FALSE)),"",VLOOKUP('Data input'!D180,$B$2:$J$200,9,FALSE))</f>
        <v/>
      </c>
      <c r="V180" s="4" t="e">
        <f t="shared" si="42"/>
        <v>#VALUE!</v>
      </c>
      <c r="W180">
        <f>'Data input'!M180</f>
        <v>0</v>
      </c>
      <c r="X180" s="4">
        <f t="shared" si="52"/>
        <v>0</v>
      </c>
      <c r="Y180" s="4" t="e">
        <f t="shared" si="43"/>
        <v>#VALUE!</v>
      </c>
      <c r="Z180" s="4" t="str">
        <f>IF(ISNA(VLOOKUP('Data input'!D180,$B$2:$E$200,4,FALSE)),"",VLOOKUP('Data input'!D180,$B$2:$E$200,4,FALSE))</f>
        <v/>
      </c>
      <c r="AA180" s="4" t="e">
        <f t="shared" si="53"/>
        <v>#VALUE!</v>
      </c>
      <c r="AB180">
        <f>'Data input'!N180</f>
        <v>0</v>
      </c>
      <c r="AC180">
        <f t="shared" si="44"/>
        <v>0</v>
      </c>
      <c r="AD180" s="4">
        <f t="shared" si="45"/>
        <v>0</v>
      </c>
      <c r="AE180" s="6">
        <f t="shared" si="46"/>
        <v>0</v>
      </c>
    </row>
    <row r="181" spans="15:31" x14ac:dyDescent="0.35">
      <c r="O181" s="30">
        <f>'Data input'!A181</f>
        <v>179</v>
      </c>
      <c r="P181" s="11">
        <f>'Data input'!G181*('Data input'!H181/1000)</f>
        <v>0</v>
      </c>
      <c r="Q181" s="11">
        <f>'Data input'!G181*('Data input'!H181/1000)*('Data input'!I181/1000)</f>
        <v>0</v>
      </c>
      <c r="R181" s="11">
        <f>'Data input'!G181*('Data input'!H181/1000)*('Data input'!I181/1000)*('Data input'!J181/1000)</f>
        <v>0</v>
      </c>
      <c r="S181" s="11" t="str">
        <f>IF(ISNA(VLOOKUP('Data input'!D181,$B$2:$C$200,2,FALSE)),"",VLOOKUP('Data input'!D181,$B$2:$C$200,2,FALSE))</f>
        <v/>
      </c>
      <c r="T181" s="11" t="str">
        <f>IF(S181="m3",Costs!R181,IF(S181="Each",'Data input'!G181,IF(S181="m",Costs!P181,IF(S181="m2",Costs!Q181,""))))</f>
        <v/>
      </c>
      <c r="U181" s="4" t="str">
        <f>IF(ISNA(VLOOKUP('Data input'!D181,$B$2:$J$200,9,FALSE)),"",VLOOKUP('Data input'!D181,$B$2:$J$200,9,FALSE))</f>
        <v/>
      </c>
      <c r="V181" s="4" t="e">
        <f t="shared" si="42"/>
        <v>#VALUE!</v>
      </c>
      <c r="W181">
        <f>'Data input'!M181</f>
        <v>0</v>
      </c>
      <c r="X181" s="4">
        <f t="shared" si="52"/>
        <v>0</v>
      </c>
      <c r="Y181" s="4" t="e">
        <f t="shared" si="43"/>
        <v>#VALUE!</v>
      </c>
      <c r="Z181" s="4" t="str">
        <f>IF(ISNA(VLOOKUP('Data input'!D181,$B$2:$E$200,4,FALSE)),"",VLOOKUP('Data input'!D181,$B$2:$E$200,4,FALSE))</f>
        <v/>
      </c>
      <c r="AA181" s="4" t="e">
        <f t="shared" si="53"/>
        <v>#VALUE!</v>
      </c>
      <c r="AB181">
        <f>'Data input'!N181</f>
        <v>0</v>
      </c>
      <c r="AC181">
        <f t="shared" si="44"/>
        <v>0</v>
      </c>
      <c r="AD181" s="4">
        <f t="shared" si="45"/>
        <v>0</v>
      </c>
      <c r="AE181" s="6">
        <f t="shared" si="46"/>
        <v>0</v>
      </c>
    </row>
    <row r="182" spans="15:31" x14ac:dyDescent="0.35">
      <c r="O182" s="30">
        <f>'Data input'!A182</f>
        <v>180</v>
      </c>
      <c r="P182" s="11">
        <f>'Data input'!G182*('Data input'!H182/1000)</f>
        <v>0</v>
      </c>
      <c r="Q182" s="11">
        <f>'Data input'!G182*('Data input'!H182/1000)*('Data input'!I182/1000)</f>
        <v>0</v>
      </c>
      <c r="R182" s="11">
        <f>'Data input'!G182*('Data input'!H182/1000)*('Data input'!I182/1000)*('Data input'!J182/1000)</f>
        <v>0</v>
      </c>
      <c r="S182" s="11" t="str">
        <f>IF(ISNA(VLOOKUP('Data input'!D182,$B$2:$C$200,2,FALSE)),"",VLOOKUP('Data input'!D182,$B$2:$C$200,2,FALSE))</f>
        <v/>
      </c>
      <c r="T182" s="11" t="str">
        <f>IF(S182="m3",Costs!R182,IF(S182="Each",'Data input'!G182,IF(S182="m",Costs!P182,IF(S182="m2",Costs!Q182,""))))</f>
        <v/>
      </c>
      <c r="U182" s="4" t="str">
        <f>IF(ISNA(VLOOKUP('Data input'!D182,$B$2:$J$200,9,FALSE)),"",VLOOKUP('Data input'!D182,$B$2:$J$200,9,FALSE))</f>
        <v/>
      </c>
      <c r="V182" s="4" t="e">
        <f t="shared" si="42"/>
        <v>#VALUE!</v>
      </c>
      <c r="W182">
        <f>'Data input'!M182</f>
        <v>0</v>
      </c>
      <c r="X182" s="4">
        <f t="shared" si="52"/>
        <v>0</v>
      </c>
      <c r="Y182" s="4" t="e">
        <f t="shared" si="43"/>
        <v>#VALUE!</v>
      </c>
      <c r="Z182" s="4" t="str">
        <f>IF(ISNA(VLOOKUP('Data input'!D182,$B$2:$E$200,4,FALSE)),"",VLOOKUP('Data input'!D182,$B$2:$E$200,4,FALSE))</f>
        <v/>
      </c>
      <c r="AA182" s="4" t="e">
        <f t="shared" si="53"/>
        <v>#VALUE!</v>
      </c>
      <c r="AB182">
        <f>'Data input'!N182</f>
        <v>0</v>
      </c>
      <c r="AC182">
        <f t="shared" si="44"/>
        <v>0</v>
      </c>
      <c r="AD182" s="4">
        <f t="shared" si="45"/>
        <v>0</v>
      </c>
      <c r="AE182" s="6">
        <f t="shared" si="46"/>
        <v>0</v>
      </c>
    </row>
    <row r="183" spans="15:31" x14ac:dyDescent="0.35">
      <c r="O183" s="30">
        <f>'Data input'!A183</f>
        <v>181</v>
      </c>
      <c r="P183" s="11">
        <f>'Data input'!G183*('Data input'!H183/1000)</f>
        <v>0</v>
      </c>
      <c r="Q183" s="11">
        <f>'Data input'!G183*('Data input'!H183/1000)*('Data input'!I183/1000)</f>
        <v>0</v>
      </c>
      <c r="R183" s="11">
        <f>'Data input'!G183*('Data input'!H183/1000)*('Data input'!I183/1000)*('Data input'!J183/1000)</f>
        <v>0</v>
      </c>
      <c r="S183" s="11" t="str">
        <f>IF(ISNA(VLOOKUP('Data input'!D183,$B$2:$C$200,2,FALSE)),"",VLOOKUP('Data input'!D183,$B$2:$C$200,2,FALSE))</f>
        <v/>
      </c>
      <c r="T183" s="11" t="str">
        <f>IF(S183="m3",Costs!R183,IF(S183="Each",'Data input'!G183,IF(S183="m",Costs!P183,IF(S183="m2",Costs!Q183,""))))</f>
        <v/>
      </c>
      <c r="U183" s="4" t="str">
        <f>IF(ISNA(VLOOKUP('Data input'!D183,$B$2:$J$200,9,FALSE)),"",VLOOKUP('Data input'!D183,$B$2:$J$200,9,FALSE))</f>
        <v/>
      </c>
      <c r="V183" s="4" t="e">
        <f t="shared" si="42"/>
        <v>#VALUE!</v>
      </c>
      <c r="W183">
        <f>'Data input'!M183</f>
        <v>0</v>
      </c>
      <c r="X183" s="4">
        <f t="shared" si="52"/>
        <v>0</v>
      </c>
      <c r="Y183" s="4" t="e">
        <f t="shared" si="43"/>
        <v>#VALUE!</v>
      </c>
      <c r="Z183" s="4" t="str">
        <f>IF(ISNA(VLOOKUP('Data input'!D183,$B$2:$E$200,4,FALSE)),"",VLOOKUP('Data input'!D183,$B$2:$E$200,4,FALSE))</f>
        <v/>
      </c>
      <c r="AA183" s="4" t="e">
        <f t="shared" si="53"/>
        <v>#VALUE!</v>
      </c>
      <c r="AB183">
        <f>'Data input'!N183</f>
        <v>0</v>
      </c>
      <c r="AC183">
        <f t="shared" si="44"/>
        <v>0</v>
      </c>
      <c r="AD183" s="4">
        <f t="shared" si="45"/>
        <v>0</v>
      </c>
      <c r="AE183" s="6">
        <f t="shared" si="46"/>
        <v>0</v>
      </c>
    </row>
    <row r="184" spans="15:31" x14ac:dyDescent="0.35">
      <c r="O184" s="30">
        <f>'Data input'!A184</f>
        <v>182</v>
      </c>
      <c r="P184" s="11">
        <f>'Data input'!G184*('Data input'!H184/1000)</f>
        <v>0</v>
      </c>
      <c r="Q184" s="11">
        <f>'Data input'!G184*('Data input'!H184/1000)*('Data input'!I184/1000)</f>
        <v>0</v>
      </c>
      <c r="R184" s="11">
        <f>'Data input'!G184*('Data input'!H184/1000)*('Data input'!I184/1000)*('Data input'!J184/1000)</f>
        <v>0</v>
      </c>
      <c r="S184" s="11" t="str">
        <f>IF(ISNA(VLOOKUP('Data input'!D184,$B$2:$C$200,2,FALSE)),"",VLOOKUP('Data input'!D184,$B$2:$C$200,2,FALSE))</f>
        <v/>
      </c>
      <c r="T184" s="11" t="str">
        <f>IF(S184="m3",Costs!R184,IF(S184="Each",'Data input'!G184,IF(S184="m",Costs!P184,IF(S184="m2",Costs!Q184,""))))</f>
        <v/>
      </c>
      <c r="U184" s="4" t="str">
        <f>IF(ISNA(VLOOKUP('Data input'!D184,$B$2:$J$200,9,FALSE)),"",VLOOKUP('Data input'!D184,$B$2:$J$200,9,FALSE))</f>
        <v/>
      </c>
      <c r="V184" s="4" t="e">
        <f t="shared" si="42"/>
        <v>#VALUE!</v>
      </c>
      <c r="W184">
        <f>'Data input'!M184</f>
        <v>0</v>
      </c>
      <c r="X184" s="4">
        <f t="shared" si="52"/>
        <v>0</v>
      </c>
      <c r="Y184" s="4" t="e">
        <f t="shared" si="43"/>
        <v>#VALUE!</v>
      </c>
      <c r="Z184" s="4" t="str">
        <f>IF(ISNA(VLOOKUP('Data input'!D184,$B$2:$E$200,4,FALSE)),"",VLOOKUP('Data input'!D184,$B$2:$E$200,4,FALSE))</f>
        <v/>
      </c>
      <c r="AA184" s="4" t="e">
        <f t="shared" si="53"/>
        <v>#VALUE!</v>
      </c>
      <c r="AB184">
        <f>'Data input'!N184</f>
        <v>0</v>
      </c>
      <c r="AC184">
        <f t="shared" si="44"/>
        <v>0</v>
      </c>
      <c r="AD184" s="4">
        <f t="shared" si="45"/>
        <v>0</v>
      </c>
      <c r="AE184" s="6">
        <f t="shared" si="46"/>
        <v>0</v>
      </c>
    </row>
    <row r="185" spans="15:31" x14ac:dyDescent="0.35">
      <c r="O185" s="30">
        <f>'Data input'!A185</f>
        <v>183</v>
      </c>
      <c r="P185" s="11">
        <f>'Data input'!G185*('Data input'!H185/1000)</f>
        <v>0</v>
      </c>
      <c r="Q185" s="11">
        <f>'Data input'!G185*('Data input'!H185/1000)*('Data input'!I185/1000)</f>
        <v>0</v>
      </c>
      <c r="R185" s="11">
        <f>'Data input'!G185*('Data input'!H185/1000)*('Data input'!I185/1000)*('Data input'!J185/1000)</f>
        <v>0</v>
      </c>
      <c r="S185" s="11" t="str">
        <f>IF(ISNA(VLOOKUP('Data input'!D185,$B$2:$C$200,2,FALSE)),"",VLOOKUP('Data input'!D185,$B$2:$C$200,2,FALSE))</f>
        <v/>
      </c>
      <c r="T185" s="11" t="str">
        <f>IF(S185="m3",Costs!R185,IF(S185="Each",'Data input'!G185,IF(S185="m",Costs!P185,IF(S185="m2",Costs!Q185,""))))</f>
        <v/>
      </c>
      <c r="U185" s="4" t="str">
        <f>IF(ISNA(VLOOKUP('Data input'!D185,$B$2:$J$200,9,FALSE)),"",VLOOKUP('Data input'!D185,$B$2:$J$200,9,FALSE))</f>
        <v/>
      </c>
      <c r="V185" s="4" t="e">
        <f t="shared" si="42"/>
        <v>#VALUE!</v>
      </c>
      <c r="W185">
        <f>'Data input'!M185</f>
        <v>0</v>
      </c>
      <c r="X185" s="4">
        <f t="shared" si="52"/>
        <v>0</v>
      </c>
      <c r="Y185" s="4" t="e">
        <f t="shared" si="43"/>
        <v>#VALUE!</v>
      </c>
      <c r="Z185" s="4" t="str">
        <f>IF(ISNA(VLOOKUP('Data input'!D185,$B$2:$E$200,4,FALSE)),"",VLOOKUP('Data input'!D185,$B$2:$E$200,4,FALSE))</f>
        <v/>
      </c>
      <c r="AA185" s="4" t="e">
        <f t="shared" si="53"/>
        <v>#VALUE!</v>
      </c>
      <c r="AB185">
        <f>'Data input'!N185</f>
        <v>0</v>
      </c>
      <c r="AC185">
        <f t="shared" si="44"/>
        <v>0</v>
      </c>
      <c r="AD185" s="4">
        <f t="shared" si="45"/>
        <v>0</v>
      </c>
      <c r="AE185" s="6">
        <f t="shared" si="46"/>
        <v>0</v>
      </c>
    </row>
    <row r="186" spans="15:31" x14ac:dyDescent="0.35">
      <c r="O186" s="30">
        <f>'Data input'!A186</f>
        <v>184</v>
      </c>
      <c r="P186" s="11">
        <f>'Data input'!G186*('Data input'!H186/1000)</f>
        <v>0</v>
      </c>
      <c r="Q186" s="11">
        <f>'Data input'!G186*('Data input'!H186/1000)*('Data input'!I186/1000)</f>
        <v>0</v>
      </c>
      <c r="R186" s="11">
        <f>'Data input'!G186*('Data input'!H186/1000)*('Data input'!I186/1000)*('Data input'!J186/1000)</f>
        <v>0</v>
      </c>
      <c r="S186" s="11" t="str">
        <f>IF(ISNA(VLOOKUP('Data input'!D186,$B$2:$C$200,2,FALSE)),"",VLOOKUP('Data input'!D186,$B$2:$C$200,2,FALSE))</f>
        <v/>
      </c>
      <c r="T186" s="11" t="str">
        <f>IF(S186="m3",Costs!R186,IF(S186="Each",'Data input'!G186,IF(S186="m",Costs!P186,IF(S186="m2",Costs!Q186,""))))</f>
        <v/>
      </c>
      <c r="U186" s="4" t="str">
        <f>IF(ISNA(VLOOKUP('Data input'!D186,$B$2:$J$200,9,FALSE)),"",VLOOKUP('Data input'!D186,$B$2:$J$200,9,FALSE))</f>
        <v/>
      </c>
      <c r="V186" s="4" t="e">
        <f t="shared" si="42"/>
        <v>#VALUE!</v>
      </c>
      <c r="W186">
        <f>'Data input'!M186</f>
        <v>0</v>
      </c>
      <c r="X186" s="4">
        <f t="shared" si="52"/>
        <v>0</v>
      </c>
      <c r="Y186" s="4" t="e">
        <f t="shared" si="43"/>
        <v>#VALUE!</v>
      </c>
      <c r="Z186" s="4" t="str">
        <f>IF(ISNA(VLOOKUP('Data input'!D186,$B$2:$E$200,4,FALSE)),"",VLOOKUP('Data input'!D186,$B$2:$E$200,4,FALSE))</f>
        <v/>
      </c>
      <c r="AA186" s="4" t="e">
        <f t="shared" si="53"/>
        <v>#VALUE!</v>
      </c>
      <c r="AB186">
        <f>'Data input'!N186</f>
        <v>0</v>
      </c>
      <c r="AC186">
        <f t="shared" si="44"/>
        <v>0</v>
      </c>
      <c r="AD186" s="4">
        <f t="shared" si="45"/>
        <v>0</v>
      </c>
      <c r="AE186" s="6">
        <f t="shared" si="46"/>
        <v>0</v>
      </c>
    </row>
    <row r="187" spans="15:31" x14ac:dyDescent="0.35">
      <c r="O187" s="30">
        <f>'Data input'!A187</f>
        <v>185</v>
      </c>
      <c r="P187" s="11">
        <f>'Data input'!G187*('Data input'!H187/1000)</f>
        <v>0</v>
      </c>
      <c r="Q187" s="11">
        <f>'Data input'!G187*('Data input'!H187/1000)*('Data input'!I187/1000)</f>
        <v>0</v>
      </c>
      <c r="R187" s="11">
        <f>'Data input'!G187*('Data input'!H187/1000)*('Data input'!I187/1000)*('Data input'!J187/1000)</f>
        <v>0</v>
      </c>
      <c r="S187" s="11" t="str">
        <f>IF(ISNA(VLOOKUP('Data input'!D187,$B$2:$C$200,2,FALSE)),"",VLOOKUP('Data input'!D187,$B$2:$C$200,2,FALSE))</f>
        <v/>
      </c>
      <c r="T187" s="11" t="str">
        <f>IF(S187="m3",Costs!R187,IF(S187="Each",'Data input'!G187,IF(S187="m",Costs!P187,IF(S187="m2",Costs!Q187,""))))</f>
        <v/>
      </c>
      <c r="U187" s="4" t="str">
        <f>IF(ISNA(VLOOKUP('Data input'!D187,$B$2:$J$200,9,FALSE)),"",VLOOKUP('Data input'!D187,$B$2:$J$200,9,FALSE))</f>
        <v/>
      </c>
      <c r="V187" s="4" t="e">
        <f t="shared" si="42"/>
        <v>#VALUE!</v>
      </c>
      <c r="W187">
        <f>'Data input'!M187</f>
        <v>0</v>
      </c>
      <c r="X187" s="4">
        <f t="shared" si="52"/>
        <v>0</v>
      </c>
      <c r="Y187" s="4" t="e">
        <f t="shared" si="43"/>
        <v>#VALUE!</v>
      </c>
      <c r="Z187" s="4" t="str">
        <f>IF(ISNA(VLOOKUP('Data input'!D187,$B$2:$E$200,4,FALSE)),"",VLOOKUP('Data input'!D187,$B$2:$E$200,4,FALSE))</f>
        <v/>
      </c>
      <c r="AA187" s="4" t="e">
        <f t="shared" si="53"/>
        <v>#VALUE!</v>
      </c>
      <c r="AB187">
        <f>'Data input'!N187</f>
        <v>0</v>
      </c>
      <c r="AC187">
        <f t="shared" si="44"/>
        <v>0</v>
      </c>
      <c r="AD187" s="4">
        <f t="shared" si="45"/>
        <v>0</v>
      </c>
      <c r="AE187" s="6">
        <f t="shared" si="46"/>
        <v>0</v>
      </c>
    </row>
    <row r="188" spans="15:31" x14ac:dyDescent="0.35">
      <c r="O188" s="30">
        <f>'Data input'!A188</f>
        <v>186</v>
      </c>
      <c r="P188" s="11">
        <f>'Data input'!G188*('Data input'!H188/1000)</f>
        <v>0</v>
      </c>
      <c r="Q188" s="11">
        <f>'Data input'!G188*('Data input'!H188/1000)*('Data input'!I188/1000)</f>
        <v>0</v>
      </c>
      <c r="R188" s="11">
        <f>'Data input'!G188*('Data input'!H188/1000)*('Data input'!I188/1000)*('Data input'!J188/1000)</f>
        <v>0</v>
      </c>
      <c r="S188" s="11" t="str">
        <f>IF(ISNA(VLOOKUP('Data input'!D188,$B$2:$C$200,2,FALSE)),"",VLOOKUP('Data input'!D188,$B$2:$C$200,2,FALSE))</f>
        <v/>
      </c>
      <c r="T188" s="11" t="str">
        <f>IF(S188="m3",Costs!R188,IF(S188="Each",'Data input'!G188,IF(S188="m",Costs!P188,IF(S188="m2",Costs!Q188,""))))</f>
        <v/>
      </c>
      <c r="U188" s="4" t="str">
        <f>IF(ISNA(VLOOKUP('Data input'!D188,$B$2:$J$200,9,FALSE)),"",VLOOKUP('Data input'!D188,$B$2:$J$200,9,FALSE))</f>
        <v/>
      </c>
      <c r="V188" s="4" t="e">
        <f t="shared" si="42"/>
        <v>#VALUE!</v>
      </c>
      <c r="W188">
        <f>'Data input'!M188</f>
        <v>0</v>
      </c>
      <c r="X188" s="4">
        <f t="shared" si="52"/>
        <v>0</v>
      </c>
      <c r="Y188" s="4" t="e">
        <f t="shared" si="43"/>
        <v>#VALUE!</v>
      </c>
      <c r="Z188" s="4" t="str">
        <f>IF(ISNA(VLOOKUP('Data input'!D188,$B$2:$E$200,4,FALSE)),"",VLOOKUP('Data input'!D188,$B$2:$E$200,4,FALSE))</f>
        <v/>
      </c>
      <c r="AA188" s="4" t="e">
        <f t="shared" si="53"/>
        <v>#VALUE!</v>
      </c>
      <c r="AB188">
        <f>'Data input'!N188</f>
        <v>0</v>
      </c>
      <c r="AC188">
        <f t="shared" si="44"/>
        <v>0</v>
      </c>
      <c r="AD188" s="4">
        <f t="shared" si="45"/>
        <v>0</v>
      </c>
      <c r="AE188" s="6">
        <f t="shared" si="46"/>
        <v>0</v>
      </c>
    </row>
    <row r="189" spans="15:31" x14ac:dyDescent="0.35">
      <c r="O189" s="30">
        <f>'Data input'!A189</f>
        <v>187</v>
      </c>
      <c r="P189" s="11">
        <f>'Data input'!G189*('Data input'!H189/1000)</f>
        <v>0</v>
      </c>
      <c r="Q189" s="11">
        <f>'Data input'!G189*('Data input'!H189/1000)*('Data input'!I189/1000)</f>
        <v>0</v>
      </c>
      <c r="R189" s="11">
        <f>'Data input'!G189*('Data input'!H189/1000)*('Data input'!I189/1000)*('Data input'!J189/1000)</f>
        <v>0</v>
      </c>
      <c r="S189" s="11" t="str">
        <f>IF(ISNA(VLOOKUP('Data input'!D189,$B$2:$C$200,2,FALSE)),"",VLOOKUP('Data input'!D189,$B$2:$C$200,2,FALSE))</f>
        <v/>
      </c>
      <c r="T189" s="11" t="str">
        <f>IF(S189="m3",Costs!R189,IF(S189="Each",'Data input'!G189,IF(S189="m",Costs!P189,IF(S189="m2",Costs!Q189,""))))</f>
        <v/>
      </c>
      <c r="U189" s="4" t="str">
        <f>IF(ISNA(VLOOKUP('Data input'!D189,$B$2:$J$200,9,FALSE)),"",VLOOKUP('Data input'!D189,$B$2:$J$200,9,FALSE))</f>
        <v/>
      </c>
      <c r="V189" s="4" t="e">
        <f t="shared" si="42"/>
        <v>#VALUE!</v>
      </c>
      <c r="W189">
        <f>'Data input'!M189</f>
        <v>0</v>
      </c>
      <c r="X189" s="4">
        <f t="shared" si="52"/>
        <v>0</v>
      </c>
      <c r="Y189" s="4" t="e">
        <f t="shared" si="43"/>
        <v>#VALUE!</v>
      </c>
      <c r="Z189" s="4" t="str">
        <f>IF(ISNA(VLOOKUP('Data input'!D189,$B$2:$E$200,4,FALSE)),"",VLOOKUP('Data input'!D189,$B$2:$E$200,4,FALSE))</f>
        <v/>
      </c>
      <c r="AA189" s="4" t="e">
        <f t="shared" si="53"/>
        <v>#VALUE!</v>
      </c>
      <c r="AB189">
        <f>'Data input'!N189</f>
        <v>0</v>
      </c>
      <c r="AC189">
        <f t="shared" si="44"/>
        <v>0</v>
      </c>
      <c r="AD189" s="4">
        <f t="shared" si="45"/>
        <v>0</v>
      </c>
      <c r="AE189" s="6">
        <f t="shared" si="46"/>
        <v>0</v>
      </c>
    </row>
    <row r="190" spans="15:31" x14ac:dyDescent="0.35">
      <c r="O190" s="30">
        <f>'Data input'!A190</f>
        <v>188</v>
      </c>
      <c r="P190" s="11">
        <f>'Data input'!G190*('Data input'!H190/1000)</f>
        <v>0</v>
      </c>
      <c r="Q190" s="11">
        <f>'Data input'!G190*('Data input'!H190/1000)*('Data input'!I190/1000)</f>
        <v>0</v>
      </c>
      <c r="R190" s="11">
        <f>'Data input'!G190*('Data input'!H190/1000)*('Data input'!I190/1000)*('Data input'!J190/1000)</f>
        <v>0</v>
      </c>
      <c r="S190" s="11" t="str">
        <f>IF(ISNA(VLOOKUP('Data input'!D190,$B$2:$C$200,2,FALSE)),"",VLOOKUP('Data input'!D190,$B$2:$C$200,2,FALSE))</f>
        <v/>
      </c>
      <c r="T190" s="11" t="str">
        <f>IF(S190="m3",Costs!R190,IF(S190="Each",'Data input'!G190,IF(S190="m",Costs!P190,IF(S190="m2",Costs!Q190,""))))</f>
        <v/>
      </c>
      <c r="U190" s="4" t="str">
        <f>IF(ISNA(VLOOKUP('Data input'!D190,$B$2:$J$200,9,FALSE)),"",VLOOKUP('Data input'!D190,$B$2:$J$200,9,FALSE))</f>
        <v/>
      </c>
      <c r="V190" s="4" t="e">
        <f t="shared" si="42"/>
        <v>#VALUE!</v>
      </c>
      <c r="W190">
        <f>'Data input'!M190</f>
        <v>0</v>
      </c>
      <c r="X190" s="4">
        <f t="shared" si="52"/>
        <v>0</v>
      </c>
      <c r="Y190" s="4" t="e">
        <f t="shared" si="43"/>
        <v>#VALUE!</v>
      </c>
      <c r="Z190" s="4" t="str">
        <f>IF(ISNA(VLOOKUP('Data input'!D190,$B$2:$E$200,4,FALSE)),"",VLOOKUP('Data input'!D190,$B$2:$E$200,4,FALSE))</f>
        <v/>
      </c>
      <c r="AA190" s="4" t="e">
        <f t="shared" si="53"/>
        <v>#VALUE!</v>
      </c>
      <c r="AB190">
        <f>'Data input'!N190</f>
        <v>0</v>
      </c>
      <c r="AC190">
        <f t="shared" si="44"/>
        <v>0</v>
      </c>
      <c r="AD190" s="4">
        <f t="shared" si="45"/>
        <v>0</v>
      </c>
      <c r="AE190" s="6">
        <f t="shared" si="46"/>
        <v>0</v>
      </c>
    </row>
    <row r="191" spans="15:31" x14ac:dyDescent="0.35">
      <c r="O191" s="30">
        <f>'Data input'!A191</f>
        <v>189</v>
      </c>
      <c r="P191" s="11">
        <f>'Data input'!G191*('Data input'!H191/1000)</f>
        <v>0</v>
      </c>
      <c r="Q191" s="11">
        <f>'Data input'!G191*('Data input'!H191/1000)*('Data input'!I191/1000)</f>
        <v>0</v>
      </c>
      <c r="R191" s="11">
        <f>'Data input'!G191*('Data input'!H191/1000)*('Data input'!I191/1000)*('Data input'!J191/1000)</f>
        <v>0</v>
      </c>
      <c r="S191" s="11" t="str">
        <f>IF(ISNA(VLOOKUP('Data input'!D191,$B$2:$C$200,2,FALSE)),"",VLOOKUP('Data input'!D191,$B$2:$C$200,2,FALSE))</f>
        <v/>
      </c>
      <c r="T191" s="11" t="str">
        <f>IF(S191="m3",Costs!R191,IF(S191="Each",'Data input'!G191,IF(S191="m",Costs!P191,IF(S191="m2",Costs!Q191,""))))</f>
        <v/>
      </c>
      <c r="U191" s="4" t="str">
        <f>IF(ISNA(VLOOKUP('Data input'!D191,$B$2:$J$200,9,FALSE)),"",VLOOKUP('Data input'!D191,$B$2:$J$200,9,FALSE))</f>
        <v/>
      </c>
      <c r="V191" s="4" t="e">
        <f t="shared" si="42"/>
        <v>#VALUE!</v>
      </c>
      <c r="W191">
        <f>'Data input'!M191</f>
        <v>0</v>
      </c>
      <c r="X191" s="4">
        <f t="shared" si="52"/>
        <v>0</v>
      </c>
      <c r="Y191" s="4" t="e">
        <f t="shared" si="43"/>
        <v>#VALUE!</v>
      </c>
      <c r="Z191" s="4" t="str">
        <f>IF(ISNA(VLOOKUP('Data input'!D191,$B$2:$E$200,4,FALSE)),"",VLOOKUP('Data input'!D191,$B$2:$E$200,4,FALSE))</f>
        <v/>
      </c>
      <c r="AA191" s="4" t="e">
        <f t="shared" si="53"/>
        <v>#VALUE!</v>
      </c>
      <c r="AB191">
        <f>'Data input'!N191</f>
        <v>0</v>
      </c>
      <c r="AC191">
        <f t="shared" si="44"/>
        <v>0</v>
      </c>
      <c r="AD191" s="4">
        <f t="shared" si="45"/>
        <v>0</v>
      </c>
      <c r="AE191" s="6">
        <f t="shared" si="46"/>
        <v>0</v>
      </c>
    </row>
    <row r="192" spans="15:31" x14ac:dyDescent="0.35">
      <c r="O192" s="30">
        <f>'Data input'!A192</f>
        <v>190</v>
      </c>
      <c r="P192" s="11">
        <f>'Data input'!G192*('Data input'!H192/1000)</f>
        <v>0</v>
      </c>
      <c r="Q192" s="11">
        <f>'Data input'!G192*('Data input'!H192/1000)*('Data input'!I192/1000)</f>
        <v>0</v>
      </c>
      <c r="R192" s="11">
        <f>'Data input'!G192*('Data input'!H192/1000)*('Data input'!I192/1000)*('Data input'!J192/1000)</f>
        <v>0</v>
      </c>
      <c r="S192" s="11" t="str">
        <f>IF(ISNA(VLOOKUP('Data input'!D192,$B$2:$C$200,2,FALSE)),"",VLOOKUP('Data input'!D192,$B$2:$C$200,2,FALSE))</f>
        <v/>
      </c>
      <c r="T192" s="11" t="str">
        <f>IF(S192="m3",Costs!R192,IF(S192="Each",'Data input'!G192,IF(S192="m",Costs!P192,IF(S192="m2",Costs!Q192,""))))</f>
        <v/>
      </c>
      <c r="U192" s="4" t="str">
        <f>IF(ISNA(VLOOKUP('Data input'!D192,$B$2:$J$200,9,FALSE)),"",VLOOKUP('Data input'!D192,$B$2:$J$200,9,FALSE))</f>
        <v/>
      </c>
      <c r="V192" s="4" t="e">
        <f t="shared" si="42"/>
        <v>#VALUE!</v>
      </c>
      <c r="W192">
        <f>'Data input'!M192</f>
        <v>0</v>
      </c>
      <c r="X192" s="4">
        <f t="shared" si="52"/>
        <v>0</v>
      </c>
      <c r="Y192" s="4" t="e">
        <f t="shared" si="43"/>
        <v>#VALUE!</v>
      </c>
      <c r="Z192" s="4" t="str">
        <f>IF(ISNA(VLOOKUP('Data input'!D192,$B$2:$E$200,4,FALSE)),"",VLOOKUP('Data input'!D192,$B$2:$E$200,4,FALSE))</f>
        <v/>
      </c>
      <c r="AA192" s="4" t="e">
        <f t="shared" si="53"/>
        <v>#VALUE!</v>
      </c>
      <c r="AB192">
        <f>'Data input'!N192</f>
        <v>0</v>
      </c>
      <c r="AC192">
        <f t="shared" si="44"/>
        <v>0</v>
      </c>
      <c r="AD192" s="4">
        <f t="shared" si="45"/>
        <v>0</v>
      </c>
      <c r="AE192" s="6">
        <f t="shared" si="46"/>
        <v>0</v>
      </c>
    </row>
    <row r="193" spans="15:31" x14ac:dyDescent="0.35">
      <c r="O193" s="30">
        <f>'Data input'!A193</f>
        <v>191</v>
      </c>
      <c r="P193" s="11">
        <f>'Data input'!G193*('Data input'!H193/1000)</f>
        <v>0</v>
      </c>
      <c r="Q193" s="11">
        <f>'Data input'!G193*('Data input'!H193/1000)*('Data input'!I193/1000)</f>
        <v>0</v>
      </c>
      <c r="R193" s="11">
        <f>'Data input'!G193*('Data input'!H193/1000)*('Data input'!I193/1000)*('Data input'!J193/1000)</f>
        <v>0</v>
      </c>
      <c r="S193" s="11" t="str">
        <f>IF(ISNA(VLOOKUP('Data input'!D193,$B$2:$C$200,2,FALSE)),"",VLOOKUP('Data input'!D193,$B$2:$C$200,2,FALSE))</f>
        <v/>
      </c>
      <c r="T193" s="11" t="str">
        <f>IF(S193="m3",Costs!R193,IF(S193="Each",'Data input'!G193,IF(S193="m",Costs!P193,IF(S193="m2",Costs!Q193,""))))</f>
        <v/>
      </c>
      <c r="U193" s="4" t="str">
        <f>IF(ISNA(VLOOKUP('Data input'!D193,$B$2:$J$200,9,FALSE)),"",VLOOKUP('Data input'!D193,$B$2:$J$200,9,FALSE))</f>
        <v/>
      </c>
      <c r="V193" s="4" t="e">
        <f t="shared" si="42"/>
        <v>#VALUE!</v>
      </c>
      <c r="W193">
        <f>'Data input'!M193</f>
        <v>0</v>
      </c>
      <c r="X193" s="4">
        <f t="shared" si="52"/>
        <v>0</v>
      </c>
      <c r="Y193" s="4" t="e">
        <f t="shared" si="43"/>
        <v>#VALUE!</v>
      </c>
      <c r="Z193" s="4" t="str">
        <f>IF(ISNA(VLOOKUP('Data input'!D193,$B$2:$E$200,4,FALSE)),"",VLOOKUP('Data input'!D193,$B$2:$E$200,4,FALSE))</f>
        <v/>
      </c>
      <c r="AA193" s="4" t="e">
        <f t="shared" si="53"/>
        <v>#VALUE!</v>
      </c>
      <c r="AB193">
        <f>'Data input'!N193</f>
        <v>0</v>
      </c>
      <c r="AC193">
        <f t="shared" si="44"/>
        <v>0</v>
      </c>
      <c r="AD193" s="4">
        <f t="shared" si="45"/>
        <v>0</v>
      </c>
      <c r="AE193" s="6">
        <f t="shared" si="46"/>
        <v>0</v>
      </c>
    </row>
    <row r="194" spans="15:31" x14ac:dyDescent="0.35">
      <c r="O194" s="30">
        <f>'Data input'!A194</f>
        <v>192</v>
      </c>
      <c r="P194" s="11">
        <f>'Data input'!G194*('Data input'!H194/1000)</f>
        <v>0</v>
      </c>
      <c r="Q194" s="11">
        <f>'Data input'!G194*('Data input'!H194/1000)*('Data input'!I194/1000)</f>
        <v>0</v>
      </c>
      <c r="R194" s="11">
        <f>'Data input'!G194*('Data input'!H194/1000)*('Data input'!I194/1000)*('Data input'!J194/1000)</f>
        <v>0</v>
      </c>
      <c r="S194" s="11" t="str">
        <f>IF(ISNA(VLOOKUP('Data input'!D194,$B$2:$C$200,2,FALSE)),"",VLOOKUP('Data input'!D194,$B$2:$C$200,2,FALSE))</f>
        <v/>
      </c>
      <c r="T194" s="11" t="str">
        <f>IF(S194="m3",Costs!R194,IF(S194="Each",'Data input'!G194,IF(S194="m",Costs!P194,IF(S194="m2",Costs!Q194,""))))</f>
        <v/>
      </c>
      <c r="U194" s="4" t="str">
        <f>IF(ISNA(VLOOKUP('Data input'!D194,$B$2:$J$200,9,FALSE)),"",VLOOKUP('Data input'!D194,$B$2:$J$200,9,FALSE))</f>
        <v/>
      </c>
      <c r="V194" s="4" t="e">
        <f t="shared" si="42"/>
        <v>#VALUE!</v>
      </c>
      <c r="W194">
        <f>'Data input'!M194</f>
        <v>0</v>
      </c>
      <c r="X194" s="4">
        <f t="shared" si="52"/>
        <v>0</v>
      </c>
      <c r="Y194" s="4" t="e">
        <f t="shared" si="43"/>
        <v>#VALUE!</v>
      </c>
      <c r="Z194" s="4" t="str">
        <f>IF(ISNA(VLOOKUP('Data input'!D194,$B$2:$E$200,4,FALSE)),"",VLOOKUP('Data input'!D194,$B$2:$E$200,4,FALSE))</f>
        <v/>
      </c>
      <c r="AA194" s="4" t="e">
        <f t="shared" si="53"/>
        <v>#VALUE!</v>
      </c>
      <c r="AB194">
        <f>'Data input'!N194</f>
        <v>0</v>
      </c>
      <c r="AC194">
        <f t="shared" si="44"/>
        <v>0</v>
      </c>
      <c r="AD194" s="4">
        <f t="shared" si="45"/>
        <v>0</v>
      </c>
      <c r="AE194" s="6">
        <f t="shared" si="46"/>
        <v>0</v>
      </c>
    </row>
    <row r="195" spans="15:31" x14ac:dyDescent="0.35">
      <c r="O195" s="30">
        <f>'Data input'!A195</f>
        <v>193</v>
      </c>
      <c r="P195" s="11">
        <f>'Data input'!G195*('Data input'!H195/1000)</f>
        <v>0</v>
      </c>
      <c r="Q195" s="11">
        <f>'Data input'!G195*('Data input'!H195/1000)*('Data input'!I195/1000)</f>
        <v>0</v>
      </c>
      <c r="R195" s="11">
        <f>'Data input'!G195*('Data input'!H195/1000)*('Data input'!I195/1000)*('Data input'!J195/1000)</f>
        <v>0</v>
      </c>
      <c r="S195" s="11" t="str">
        <f>IF(ISNA(VLOOKUP('Data input'!D195,$B$2:$C$200,2,FALSE)),"",VLOOKUP('Data input'!D195,$B$2:$C$200,2,FALSE))</f>
        <v/>
      </c>
      <c r="T195" s="11" t="str">
        <f>IF(S195="m3",Costs!R195,IF(S195="Each",'Data input'!G195,IF(S195="m",Costs!P195,IF(S195="m2",Costs!Q195,""))))</f>
        <v/>
      </c>
      <c r="U195" s="4" t="str">
        <f>IF(ISNA(VLOOKUP('Data input'!D195,$B$2:$J$200,9,FALSE)),"",VLOOKUP('Data input'!D195,$B$2:$J$200,9,FALSE))</f>
        <v/>
      </c>
      <c r="V195" s="4" t="e">
        <f t="shared" si="42"/>
        <v>#VALUE!</v>
      </c>
      <c r="W195">
        <f>'Data input'!M195</f>
        <v>0</v>
      </c>
      <c r="X195" s="4">
        <f t="shared" ref="X195:X202" si="57">SUMIF(W195,"Yes",V195)</f>
        <v>0</v>
      </c>
      <c r="Y195" s="4" t="e">
        <f t="shared" si="43"/>
        <v>#VALUE!</v>
      </c>
      <c r="Z195" s="4" t="str">
        <f>IF(ISNA(VLOOKUP('Data input'!D195,$B$2:$E$200,4,FALSE)),"",VLOOKUP('Data input'!D195,$B$2:$E$200,4,FALSE))</f>
        <v/>
      </c>
      <c r="AA195" s="4" t="e">
        <f t="shared" ref="AA195:AA202" si="58">T195*Z195</f>
        <v>#VALUE!</v>
      </c>
      <c r="AB195">
        <f>'Data input'!N195</f>
        <v>0</v>
      </c>
      <c r="AC195">
        <f t="shared" si="44"/>
        <v>0</v>
      </c>
      <c r="AD195" s="4">
        <f t="shared" si="45"/>
        <v>0</v>
      </c>
      <c r="AE195" s="6">
        <f t="shared" si="46"/>
        <v>0</v>
      </c>
    </row>
    <row r="196" spans="15:31" x14ac:dyDescent="0.35">
      <c r="O196" s="30">
        <f>'Data input'!A196</f>
        <v>194</v>
      </c>
      <c r="P196" s="11">
        <f>'Data input'!G196*('Data input'!H196/1000)</f>
        <v>0</v>
      </c>
      <c r="Q196" s="11">
        <f>'Data input'!G196*('Data input'!H196/1000)*('Data input'!I196/1000)</f>
        <v>0</v>
      </c>
      <c r="R196" s="11">
        <f>'Data input'!G196*('Data input'!H196/1000)*('Data input'!I196/1000)*('Data input'!J196/1000)</f>
        <v>0</v>
      </c>
      <c r="S196" s="11" t="str">
        <f>IF(ISNA(VLOOKUP('Data input'!D196,$B$2:$C$200,2,FALSE)),"",VLOOKUP('Data input'!D196,$B$2:$C$200,2,FALSE))</f>
        <v/>
      </c>
      <c r="T196" s="11" t="str">
        <f>IF(S196="m3",Costs!R196,IF(S196="Each",'Data input'!G196,IF(S196="m",Costs!P196,IF(S196="m2",Costs!Q196,""))))</f>
        <v/>
      </c>
      <c r="U196" s="4" t="str">
        <f>IF(ISNA(VLOOKUP('Data input'!D196,$B$2:$J$200,9,FALSE)),"",VLOOKUP('Data input'!D196,$B$2:$J$200,9,FALSE))</f>
        <v/>
      </c>
      <c r="V196" s="4" t="e">
        <f t="shared" ref="V196:V202" si="59">T196*U196</f>
        <v>#VALUE!</v>
      </c>
      <c r="W196">
        <f>'Data input'!M196</f>
        <v>0</v>
      </c>
      <c r="X196" s="4">
        <f t="shared" si="57"/>
        <v>0</v>
      </c>
      <c r="Y196" s="4" t="e">
        <f t="shared" ref="Y196:Y202" si="60">V196</f>
        <v>#VALUE!</v>
      </c>
      <c r="Z196" s="4" t="str">
        <f>IF(ISNA(VLOOKUP('Data input'!D196,$B$2:$E$200,4,FALSE)),"",VLOOKUP('Data input'!D196,$B$2:$E$200,4,FALSE))</f>
        <v/>
      </c>
      <c r="AA196" s="4" t="e">
        <f t="shared" si="58"/>
        <v>#VALUE!</v>
      </c>
      <c r="AB196">
        <f>'Data input'!N196</f>
        <v>0</v>
      </c>
      <c r="AC196">
        <f t="shared" ref="AC196:AC202" si="61">SUMIF(AB196,"Yes",Y196)</f>
        <v>0</v>
      </c>
      <c r="AD196" s="4">
        <f t="shared" ref="AD196:AD202" si="62">SUMIF(AB196,"Yes",AA196)</f>
        <v>0</v>
      </c>
      <c r="AE196" s="6">
        <f t="shared" ref="AE196:AE202" si="63">AC196+AD196</f>
        <v>0</v>
      </c>
    </row>
    <row r="197" spans="15:31" x14ac:dyDescent="0.35">
      <c r="O197" s="30">
        <f>'Data input'!A197</f>
        <v>195</v>
      </c>
      <c r="P197" s="11">
        <f>'Data input'!G197*('Data input'!H197/1000)</f>
        <v>0</v>
      </c>
      <c r="Q197" s="11">
        <f>'Data input'!G197*('Data input'!H197/1000)*('Data input'!I197/1000)</f>
        <v>0</v>
      </c>
      <c r="R197" s="11">
        <f>'Data input'!G197*('Data input'!H197/1000)*('Data input'!I197/1000)*('Data input'!J197/1000)</f>
        <v>0</v>
      </c>
      <c r="S197" s="11" t="str">
        <f>IF(ISNA(VLOOKUP('Data input'!D197,$B$2:$C$200,2,FALSE)),"",VLOOKUP('Data input'!D197,$B$2:$C$200,2,FALSE))</f>
        <v/>
      </c>
      <c r="T197" s="11" t="str">
        <f>IF(S197="m3",Costs!R197,IF(S197="Each",'Data input'!G197,IF(S197="m",Costs!P197,IF(S197="m2",Costs!Q197,""))))</f>
        <v/>
      </c>
      <c r="U197" s="4" t="str">
        <f>IF(ISNA(VLOOKUP('Data input'!D197,$B$2:$J$200,9,FALSE)),"",VLOOKUP('Data input'!D197,$B$2:$J$200,9,FALSE))</f>
        <v/>
      </c>
      <c r="V197" s="4" t="e">
        <f t="shared" si="59"/>
        <v>#VALUE!</v>
      </c>
      <c r="W197">
        <f>'Data input'!M197</f>
        <v>0</v>
      </c>
      <c r="X197" s="4">
        <f t="shared" si="57"/>
        <v>0</v>
      </c>
      <c r="Y197" s="4" t="e">
        <f t="shared" si="60"/>
        <v>#VALUE!</v>
      </c>
      <c r="Z197" s="4" t="str">
        <f>IF(ISNA(VLOOKUP('Data input'!D197,$B$2:$E$200,4,FALSE)),"",VLOOKUP('Data input'!D197,$B$2:$E$200,4,FALSE))</f>
        <v/>
      </c>
      <c r="AA197" s="4" t="e">
        <f t="shared" si="58"/>
        <v>#VALUE!</v>
      </c>
      <c r="AB197">
        <f>'Data input'!N197</f>
        <v>0</v>
      </c>
      <c r="AC197">
        <f t="shared" si="61"/>
        <v>0</v>
      </c>
      <c r="AD197" s="4">
        <f t="shared" si="62"/>
        <v>0</v>
      </c>
      <c r="AE197" s="6">
        <f t="shared" si="63"/>
        <v>0</v>
      </c>
    </row>
    <row r="198" spans="15:31" x14ac:dyDescent="0.35">
      <c r="O198" s="30">
        <f>'Data input'!A198</f>
        <v>196</v>
      </c>
      <c r="P198" s="11">
        <f>'Data input'!G198*('Data input'!H198/1000)</f>
        <v>0</v>
      </c>
      <c r="Q198" s="11">
        <f>'Data input'!G198*('Data input'!H198/1000)*('Data input'!I198/1000)</f>
        <v>0</v>
      </c>
      <c r="R198" s="11">
        <f>'Data input'!G198*('Data input'!H198/1000)*('Data input'!I198/1000)*('Data input'!J198/1000)</f>
        <v>0</v>
      </c>
      <c r="S198" s="11" t="str">
        <f>IF(ISNA(VLOOKUP('Data input'!D198,$B$2:$C$200,2,FALSE)),"",VLOOKUP('Data input'!D198,$B$2:$C$200,2,FALSE))</f>
        <v/>
      </c>
      <c r="T198" s="11" t="str">
        <f>IF(S198="m3",Costs!R198,IF(S198="Each",'Data input'!G198,IF(S198="m",Costs!P198,IF(S198="m2",Costs!Q198,""))))</f>
        <v/>
      </c>
      <c r="U198" s="4" t="str">
        <f>IF(ISNA(VLOOKUP('Data input'!D198,$B$2:$J$200,9,FALSE)),"",VLOOKUP('Data input'!D198,$B$2:$J$200,9,FALSE))</f>
        <v/>
      </c>
      <c r="V198" s="4" t="e">
        <f t="shared" si="59"/>
        <v>#VALUE!</v>
      </c>
      <c r="W198">
        <f>'Data input'!M198</f>
        <v>0</v>
      </c>
      <c r="X198" s="4">
        <f t="shared" si="57"/>
        <v>0</v>
      </c>
      <c r="Y198" s="4" t="e">
        <f t="shared" si="60"/>
        <v>#VALUE!</v>
      </c>
      <c r="Z198" s="4" t="str">
        <f>IF(ISNA(VLOOKUP('Data input'!D198,$B$2:$E$200,4,FALSE)),"",VLOOKUP('Data input'!D198,$B$2:$E$200,4,FALSE))</f>
        <v/>
      </c>
      <c r="AA198" s="4" t="e">
        <f t="shared" si="58"/>
        <v>#VALUE!</v>
      </c>
      <c r="AB198">
        <f>'Data input'!N198</f>
        <v>0</v>
      </c>
      <c r="AC198">
        <f t="shared" si="61"/>
        <v>0</v>
      </c>
      <c r="AD198" s="4">
        <f t="shared" si="62"/>
        <v>0</v>
      </c>
      <c r="AE198" s="6">
        <f t="shared" si="63"/>
        <v>0</v>
      </c>
    </row>
    <row r="199" spans="15:31" x14ac:dyDescent="0.35">
      <c r="O199" s="30">
        <f>'Data input'!A199</f>
        <v>197</v>
      </c>
      <c r="P199" s="11">
        <f>'Data input'!G199*('Data input'!H199/1000)</f>
        <v>0</v>
      </c>
      <c r="Q199" s="11">
        <f>'Data input'!G199*('Data input'!H199/1000)*('Data input'!I199/1000)</f>
        <v>0</v>
      </c>
      <c r="R199" s="11">
        <f>'Data input'!G199*('Data input'!H199/1000)*('Data input'!I199/1000)*('Data input'!J199/1000)</f>
        <v>0</v>
      </c>
      <c r="S199" s="11" t="str">
        <f>IF(ISNA(VLOOKUP('Data input'!D199,$B$2:$C$200,2,FALSE)),"",VLOOKUP('Data input'!D199,$B$2:$C$200,2,FALSE))</f>
        <v/>
      </c>
      <c r="T199" s="11" t="str">
        <f>IF(S199="m3",Costs!R199,IF(S199="Each",'Data input'!G199,IF(S199="m",Costs!P199,IF(S199="m2",Costs!Q199,""))))</f>
        <v/>
      </c>
      <c r="U199" s="4" t="str">
        <f>IF(ISNA(VLOOKUP('Data input'!D199,$B$2:$J$200,9,FALSE)),"",VLOOKUP('Data input'!D199,$B$2:$J$200,9,FALSE))</f>
        <v/>
      </c>
      <c r="V199" s="4" t="e">
        <f t="shared" si="59"/>
        <v>#VALUE!</v>
      </c>
      <c r="W199">
        <f>'Data input'!M199</f>
        <v>0</v>
      </c>
      <c r="X199" s="4">
        <f t="shared" si="57"/>
        <v>0</v>
      </c>
      <c r="Y199" s="4" t="e">
        <f t="shared" si="60"/>
        <v>#VALUE!</v>
      </c>
      <c r="Z199" s="4" t="str">
        <f>IF(ISNA(VLOOKUP('Data input'!D199,$B$2:$E$200,4,FALSE)),"",VLOOKUP('Data input'!D199,$B$2:$E$200,4,FALSE))</f>
        <v/>
      </c>
      <c r="AA199" s="4" t="e">
        <f t="shared" si="58"/>
        <v>#VALUE!</v>
      </c>
      <c r="AB199">
        <f>'Data input'!N199</f>
        <v>0</v>
      </c>
      <c r="AC199">
        <f t="shared" si="61"/>
        <v>0</v>
      </c>
      <c r="AD199" s="4">
        <f t="shared" si="62"/>
        <v>0</v>
      </c>
      <c r="AE199" s="6">
        <f t="shared" si="63"/>
        <v>0</v>
      </c>
    </row>
    <row r="200" spans="15:31" x14ac:dyDescent="0.35">
      <c r="O200" s="30">
        <f>'Data input'!A200</f>
        <v>198</v>
      </c>
      <c r="P200" s="11">
        <f>'Data input'!G200*('Data input'!H200/1000)</f>
        <v>0</v>
      </c>
      <c r="Q200" s="11">
        <f>'Data input'!G200*('Data input'!H200/1000)*('Data input'!I200/1000)</f>
        <v>0</v>
      </c>
      <c r="R200" s="11">
        <f>'Data input'!G200*('Data input'!H200/1000)*('Data input'!I200/1000)*('Data input'!J200/1000)</f>
        <v>0</v>
      </c>
      <c r="S200" s="11" t="str">
        <f>IF(ISNA(VLOOKUP('Data input'!D200,$B$2:$C$200,2,FALSE)),"",VLOOKUP('Data input'!D200,$B$2:$C$200,2,FALSE))</f>
        <v/>
      </c>
      <c r="T200" s="11" t="str">
        <f>IF(S200="m3",Costs!R200,IF(S200="Each",'Data input'!G200,IF(S200="m",Costs!P200,IF(S200="m2",Costs!Q200,""))))</f>
        <v/>
      </c>
      <c r="U200" s="4" t="str">
        <f>IF(ISNA(VLOOKUP('Data input'!D200,$B$2:$J$200,9,FALSE)),"",VLOOKUP('Data input'!D200,$B$2:$J$200,9,FALSE))</f>
        <v/>
      </c>
      <c r="V200" s="4" t="e">
        <f t="shared" si="59"/>
        <v>#VALUE!</v>
      </c>
      <c r="W200">
        <f>'Data input'!M200</f>
        <v>0</v>
      </c>
      <c r="X200" s="4">
        <f t="shared" si="57"/>
        <v>0</v>
      </c>
      <c r="Y200" s="4" t="e">
        <f t="shared" si="60"/>
        <v>#VALUE!</v>
      </c>
      <c r="Z200" s="4" t="str">
        <f>IF(ISNA(VLOOKUP('Data input'!D200,$B$2:$E$200,4,FALSE)),"",VLOOKUP('Data input'!D200,$B$2:$E$200,4,FALSE))</f>
        <v/>
      </c>
      <c r="AA200" s="4" t="e">
        <f t="shared" si="58"/>
        <v>#VALUE!</v>
      </c>
      <c r="AB200">
        <f>'Data input'!N200</f>
        <v>0</v>
      </c>
      <c r="AC200">
        <f t="shared" si="61"/>
        <v>0</v>
      </c>
      <c r="AD200" s="4">
        <f t="shared" si="62"/>
        <v>0</v>
      </c>
      <c r="AE200" s="6">
        <f t="shared" si="63"/>
        <v>0</v>
      </c>
    </row>
    <row r="201" spans="15:31" x14ac:dyDescent="0.35">
      <c r="O201" s="30">
        <f>'Data input'!A201</f>
        <v>199</v>
      </c>
      <c r="P201" s="11">
        <f>'Data input'!G201*('Data input'!H201/1000)</f>
        <v>0</v>
      </c>
      <c r="Q201" s="11">
        <f>'Data input'!G201*('Data input'!H201/1000)*('Data input'!I201/1000)</f>
        <v>0</v>
      </c>
      <c r="R201" s="11">
        <f>'Data input'!G201*('Data input'!H201/1000)*('Data input'!I201/1000)*('Data input'!J201/1000)</f>
        <v>0</v>
      </c>
      <c r="S201" s="11" t="str">
        <f>IF(ISNA(VLOOKUP('Data input'!D201,$B$2:$C$200,2,FALSE)),"",VLOOKUP('Data input'!D201,$B$2:$C$200,2,FALSE))</f>
        <v/>
      </c>
      <c r="T201" s="11" t="str">
        <f>IF(S201="m3",Costs!R201,IF(S201="Each",'Data input'!G201,IF(S201="m",Costs!P201,IF(S201="m2",Costs!Q201,""))))</f>
        <v/>
      </c>
      <c r="U201" s="4" t="str">
        <f>IF(ISNA(VLOOKUP('Data input'!D201,$B$2:$J$200,9,FALSE)),"",VLOOKUP('Data input'!D201,$B$2:$J$200,9,FALSE))</f>
        <v/>
      </c>
      <c r="V201" s="4" t="e">
        <f t="shared" si="59"/>
        <v>#VALUE!</v>
      </c>
      <c r="W201">
        <f>'Data input'!M201</f>
        <v>0</v>
      </c>
      <c r="X201" s="4">
        <f t="shared" si="57"/>
        <v>0</v>
      </c>
      <c r="Y201" s="4" t="e">
        <f t="shared" si="60"/>
        <v>#VALUE!</v>
      </c>
      <c r="Z201" s="4" t="str">
        <f>IF(ISNA(VLOOKUP('Data input'!D201,$B$2:$E$200,4,FALSE)),"",VLOOKUP('Data input'!D201,$B$2:$E$200,4,FALSE))</f>
        <v/>
      </c>
      <c r="AA201" s="4" t="e">
        <f t="shared" si="58"/>
        <v>#VALUE!</v>
      </c>
      <c r="AB201">
        <f>'Data input'!N201</f>
        <v>0</v>
      </c>
      <c r="AC201">
        <f t="shared" si="61"/>
        <v>0</v>
      </c>
      <c r="AD201" s="4">
        <f t="shared" si="62"/>
        <v>0</v>
      </c>
      <c r="AE201" s="6">
        <f t="shared" si="63"/>
        <v>0</v>
      </c>
    </row>
    <row r="202" spans="15:31" x14ac:dyDescent="0.35">
      <c r="O202" s="30">
        <f>'Data input'!A202</f>
        <v>200</v>
      </c>
      <c r="P202" s="11">
        <f>'Data input'!G202*('Data input'!H202/1000)</f>
        <v>0</v>
      </c>
      <c r="Q202" s="11">
        <f>'Data input'!G202*('Data input'!H202/1000)*('Data input'!I202/1000)</f>
        <v>0</v>
      </c>
      <c r="R202" s="11">
        <f>'Data input'!G202*('Data input'!H202/1000)*('Data input'!I202/1000)*('Data input'!J202/1000)</f>
        <v>0</v>
      </c>
      <c r="S202" s="11" t="str">
        <f>IF(ISNA(VLOOKUP('Data input'!D202,$B$2:$C$200,2,FALSE)),"",VLOOKUP('Data input'!D202,$B$2:$C$200,2,FALSE))</f>
        <v/>
      </c>
      <c r="T202" s="11" t="str">
        <f>IF(S202="m3",Costs!R202,IF(S202="Each",'Data input'!G202,IF(S202="m",Costs!P202,IF(S202="m2",Costs!Q202,""))))</f>
        <v/>
      </c>
      <c r="U202" s="4" t="str">
        <f>IF(ISNA(VLOOKUP('Data input'!D202,$B$2:$J$200,9,FALSE)),"",VLOOKUP('Data input'!D202,$B$2:$J$200,9,FALSE))</f>
        <v/>
      </c>
      <c r="V202" s="4" t="e">
        <f t="shared" si="59"/>
        <v>#VALUE!</v>
      </c>
      <c r="W202">
        <f>'Data input'!M202</f>
        <v>0</v>
      </c>
      <c r="X202" s="4">
        <f t="shared" si="57"/>
        <v>0</v>
      </c>
      <c r="Y202" s="4" t="e">
        <f t="shared" si="60"/>
        <v>#VALUE!</v>
      </c>
      <c r="Z202" s="4" t="str">
        <f>IF(ISNA(VLOOKUP('Data input'!D202,$B$2:$E$200,4,FALSE)),"",VLOOKUP('Data input'!D202,$B$2:$E$200,4,FALSE))</f>
        <v/>
      </c>
      <c r="AA202" s="4" t="e">
        <f t="shared" si="58"/>
        <v>#VALUE!</v>
      </c>
      <c r="AB202">
        <f>'Data input'!N202</f>
        <v>0</v>
      </c>
      <c r="AC202">
        <f t="shared" si="61"/>
        <v>0</v>
      </c>
      <c r="AD202" s="4">
        <f t="shared" si="62"/>
        <v>0</v>
      </c>
      <c r="AE202" s="6">
        <f t="shared" si="63"/>
        <v>0</v>
      </c>
    </row>
    <row r="203" spans="15:31" x14ac:dyDescent="0.35">
      <c r="R203" s="11"/>
      <c r="S203" s="11"/>
      <c r="T203" s="11"/>
    </row>
  </sheetData>
  <sheetProtection sheet="1" objects="1" scenarios="1" formatCells="0" selectLockedCells="1" sort="0" autoFilter="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89"/>
  <sheetViews>
    <sheetView topLeftCell="B1" workbookViewId="0">
      <pane ySplit="1" topLeftCell="A34" activePane="bottomLeft" state="frozen"/>
      <selection pane="bottomLeft" activeCell="H40" sqref="H40"/>
    </sheetView>
  </sheetViews>
  <sheetFormatPr defaultRowHeight="14.5" x14ac:dyDescent="0.35"/>
  <cols>
    <col min="1" max="1" width="89.453125" bestFit="1" customWidth="1"/>
    <col min="2" max="2" width="13.26953125" bestFit="1" customWidth="1"/>
    <col min="3" max="3" width="13.7265625" bestFit="1" customWidth="1"/>
    <col min="4" max="4" width="16.81640625" bestFit="1" customWidth="1"/>
    <col min="5" max="5" width="17.81640625" bestFit="1" customWidth="1"/>
    <col min="6" max="6" width="18.81640625" bestFit="1" customWidth="1"/>
    <col min="7" max="7" width="19.1796875" bestFit="1" customWidth="1"/>
    <col min="8" max="8" width="18.81640625" customWidth="1"/>
    <col min="10" max="10" width="13.453125" bestFit="1" customWidth="1"/>
    <col min="12" max="12" width="15.7265625" bestFit="1" customWidth="1"/>
    <col min="14" max="14" width="16.1796875" bestFit="1" customWidth="1"/>
    <col min="15" max="15" width="16.1796875" customWidth="1"/>
    <col min="16" max="16" width="48.7265625" bestFit="1" customWidth="1"/>
    <col min="17" max="17" width="15.1796875" bestFit="1" customWidth="1"/>
    <col min="18" max="18" width="18" bestFit="1" customWidth="1"/>
    <col min="19" max="19" width="23.7265625" bestFit="1" customWidth="1"/>
    <col min="20" max="20" width="18" bestFit="1" customWidth="1"/>
  </cols>
  <sheetData>
    <row r="1" spans="1:20" x14ac:dyDescent="0.35">
      <c r="A1" s="1" t="str">
        <f>Costs!B1</f>
        <v>Material</v>
      </c>
      <c r="B1" s="1" t="s">
        <v>483</v>
      </c>
      <c r="C1" s="1" t="s">
        <v>484</v>
      </c>
      <c r="D1" s="1" t="s">
        <v>485</v>
      </c>
      <c r="E1" s="1" t="s">
        <v>486</v>
      </c>
      <c r="F1" s="1" t="s">
        <v>487</v>
      </c>
      <c r="G1" s="1" t="s">
        <v>488</v>
      </c>
      <c r="H1" s="1" t="s">
        <v>489</v>
      </c>
      <c r="I1" s="1" t="s">
        <v>490</v>
      </c>
      <c r="J1" s="1" t="s">
        <v>491</v>
      </c>
      <c r="K1" s="1" t="s">
        <v>51</v>
      </c>
      <c r="L1" s="1" t="s">
        <v>492</v>
      </c>
      <c r="N1" s="1" t="s">
        <v>493</v>
      </c>
      <c r="O1" s="1" t="s">
        <v>494</v>
      </c>
      <c r="P1" s="1" t="s">
        <v>78</v>
      </c>
      <c r="Q1" s="1" t="s">
        <v>495</v>
      </c>
      <c r="S1" s="1" t="s">
        <v>34</v>
      </c>
      <c r="T1" s="1" t="s">
        <v>496</v>
      </c>
    </row>
    <row r="2" spans="1:20" x14ac:dyDescent="0.35">
      <c r="A2" t="str">
        <f>Lists!A2</f>
        <v>Insulation</v>
      </c>
      <c r="B2" s="6">
        <f>SUMIF(Costs!A$2:A$200,Lists!A2,Costs!G$2:G$200)</f>
        <v>0</v>
      </c>
      <c r="C2" s="6">
        <f>SUMIF(Costs!$A$2:$A$200,A2,Costs!$L$2:$L$200)</f>
        <v>0</v>
      </c>
      <c r="D2" s="6">
        <f>SUMIF(Costs!$A$2:$A$200,A2,Costs!$M$2:$M$200)</f>
        <v>0</v>
      </c>
      <c r="E2" s="6">
        <f>SUMIF(Costs!$A$2:$A$200,A2,Costs!$N$2:$N$200)</f>
        <v>0</v>
      </c>
      <c r="F2" s="6">
        <f>(B2+E2)</f>
        <v>0</v>
      </c>
      <c r="H2" s="6">
        <f>C2+D2</f>
        <v>0</v>
      </c>
      <c r="N2">
        <f>SUMIF('Data input'!$B$3:$B$202,Lists!A2,'Data input'!$K$3:$K$202)</f>
        <v>0</v>
      </c>
      <c r="O2">
        <f>N2*Lists!C2</f>
        <v>0</v>
      </c>
      <c r="P2" t="s">
        <v>99</v>
      </c>
      <c r="Q2">
        <f>SUMIF('Data input'!$F$3:$F$202,$P$2:$P$22,'Data input'!$K$3:$K$202)</f>
        <v>0</v>
      </c>
      <c r="S2" t="str">
        <f>Lists!F2</f>
        <v>As good as new</v>
      </c>
      <c r="T2">
        <f>SUMIF('Data input'!$L$3:$L$202,$S$2:$S$7,'Data input'!$K$3:$K$202)</f>
        <v>0</v>
      </c>
    </row>
    <row r="3" spans="1:20" x14ac:dyDescent="0.35">
      <c r="A3" t="str">
        <f>Lists!A3</f>
        <v>Concrete</v>
      </c>
      <c r="B3" s="6">
        <f>SUMIF(Costs!A$2:A$200,Lists!A3,Costs!G$2:G$200)</f>
        <v>0</v>
      </c>
      <c r="C3" s="6">
        <f>SUMIF(Costs!$A$2:$A$200,A3,Costs!$L$2:$L$200)</f>
        <v>0</v>
      </c>
      <c r="D3" s="6">
        <f>SUMIF(Costs!$A$2:$A$200,A3,Costs!$M$2:$M$200)</f>
        <v>0</v>
      </c>
      <c r="E3" s="6">
        <f>SUMIF(Costs!$A$2:$A$200,A3,Costs!$N$2:$N$200)</f>
        <v>0</v>
      </c>
      <c r="F3" s="6">
        <f>(B3+E3)</f>
        <v>0</v>
      </c>
      <c r="G3" s="4"/>
      <c r="H3" s="6">
        <f t="shared" ref="H3:H38" si="0">C3+D3</f>
        <v>0</v>
      </c>
      <c r="N3">
        <f>SUMIF('Data input'!$B$3:$B$202,Lists!A3,'Data input'!$K$3:$K$202)</f>
        <v>0</v>
      </c>
      <c r="O3">
        <f>N3*Lists!C3</f>
        <v>0</v>
      </c>
      <c r="P3" t="s">
        <v>111</v>
      </c>
      <c r="Q3">
        <f>SUMIF('Data input'!$F$3:$F$202,$P$2:$P$22,'Data input'!$K$3:$K$202)</f>
        <v>0</v>
      </c>
      <c r="S3" t="str">
        <f>Lists!F3</f>
        <v>Potentially reusable</v>
      </c>
      <c r="T3">
        <f>SUMIF('Data input'!$L$3:$L$202,$S$2:$S$7,'Data input'!$K$3:$K$202)</f>
        <v>0</v>
      </c>
    </row>
    <row r="4" spans="1:20" x14ac:dyDescent="0.35">
      <c r="A4" t="str">
        <f>Lists!A4</f>
        <v>Bricks</v>
      </c>
      <c r="B4" s="6">
        <f>SUMIF(Costs!A$2:A$200,Lists!A4,Costs!G$2:G$200)</f>
        <v>0</v>
      </c>
      <c r="C4" s="6">
        <f>SUMIF(Costs!$A$2:$A$200,A4,Costs!$L$2:$L$200)</f>
        <v>0</v>
      </c>
      <c r="D4" s="6">
        <f>SUMIF(Costs!$A$2:$A$200,A4,Costs!$M$2:$M$200)</f>
        <v>0</v>
      </c>
      <c r="E4" s="6">
        <f>SUMIF(Costs!$A$2:$A$200,A4,Costs!$N$2:$N$200)</f>
        <v>0</v>
      </c>
      <c r="F4" s="6">
        <f>(B4+E4)</f>
        <v>0</v>
      </c>
      <c r="G4" s="4"/>
      <c r="H4" s="6">
        <f t="shared" si="0"/>
        <v>0</v>
      </c>
      <c r="N4">
        <f>SUMIF('Data input'!$B$3:$B$202,Lists!A4,'Data input'!$K$3:$K$202)</f>
        <v>0</v>
      </c>
      <c r="O4">
        <f>N4*Lists!C4</f>
        <v>0</v>
      </c>
      <c r="P4" t="s">
        <v>123</v>
      </c>
      <c r="Q4">
        <f>SUMIF('Data input'!$F$3:$F$202,$P$2:$P$22,'Data input'!$K$3:$K$202)</f>
        <v>0</v>
      </c>
      <c r="S4" t="str">
        <f>Lists!F4</f>
        <v>Slight damage/Reparable</v>
      </c>
      <c r="T4">
        <f>SUMIF('Data input'!$L$3:$L$202,$S$2:$S$7,'Data input'!$K$3:$K$202)</f>
        <v>0</v>
      </c>
    </row>
    <row r="5" spans="1:20" x14ac:dyDescent="0.35">
      <c r="A5" t="str">
        <f>Lists!A5</f>
        <v>Tiles_and_ceramics</v>
      </c>
      <c r="B5" s="6">
        <f>SUMIF(Costs!A$2:A$200,Lists!A5,Costs!G$2:G$200)</f>
        <v>0</v>
      </c>
      <c r="C5" s="6">
        <f>SUMIF(Costs!$A$2:$A$200,A5,Costs!$L$2:$L$200)</f>
        <v>0</v>
      </c>
      <c r="D5" s="6">
        <f>SUMIF(Costs!$A$2:$A$200,A5,Costs!$M$2:$M$200)</f>
        <v>0</v>
      </c>
      <c r="E5" s="6">
        <f>SUMIF(Costs!$A$2:$A$200,A5,Costs!$N$2:$N$200)</f>
        <v>0</v>
      </c>
      <c r="F5" s="6">
        <f t="shared" ref="F5:F35" si="1">(B5+E5)</f>
        <v>0</v>
      </c>
      <c r="G5" s="4"/>
      <c r="H5" s="6">
        <f t="shared" si="0"/>
        <v>0</v>
      </c>
      <c r="N5">
        <f>SUMIF('Data input'!$B$3:$B$202,Lists!A5,'Data input'!$K$3:$K$202)</f>
        <v>0</v>
      </c>
      <c r="O5">
        <f>N5*Lists!C5</f>
        <v>0</v>
      </c>
      <c r="P5" t="s">
        <v>134</v>
      </c>
      <c r="Q5">
        <f>SUMIF('Data input'!$F$3:$F$202,$P$2:$P$22,'Data input'!$K$3:$K$202)</f>
        <v>0</v>
      </c>
      <c r="S5" t="str">
        <f>Lists!F5</f>
        <v>Suitable for recycling</v>
      </c>
      <c r="T5">
        <f>SUMIF('Data input'!$L$3:$L$202,$S$2:$S$7,'Data input'!$K$3:$K$202)</f>
        <v>0</v>
      </c>
    </row>
    <row r="6" spans="1:20" x14ac:dyDescent="0.35">
      <c r="A6" t="str">
        <f>Lists!A6</f>
        <v>Concrete_bricks_tiles_and_ceramics_in_mixtures</v>
      </c>
      <c r="B6" s="6">
        <f>SUMIF(Costs!A$2:A$200,Lists!A6,Costs!G$2:G$200)</f>
        <v>0</v>
      </c>
      <c r="C6" s="6">
        <f>SUMIF(Costs!$A$2:$A$200,A6,Costs!$L$2:$L$200)</f>
        <v>0</v>
      </c>
      <c r="D6" s="6">
        <f>SUMIF(Costs!$A$2:$A$200,A6,Costs!$M$2:$M$200)</f>
        <v>0</v>
      </c>
      <c r="E6" s="6">
        <f>SUMIF(Costs!$A$2:$A$200,A6,Costs!$N$2:$N$200)</f>
        <v>0</v>
      </c>
      <c r="F6" s="6">
        <f t="shared" si="1"/>
        <v>0</v>
      </c>
      <c r="G6" s="4"/>
      <c r="H6" s="6">
        <f t="shared" si="0"/>
        <v>0</v>
      </c>
      <c r="N6">
        <f>SUMIF('Data input'!$B$3:$B$202,Lists!A6,'Data input'!$K$3:$K$202)</f>
        <v>0</v>
      </c>
      <c r="O6">
        <f>N6*Lists!C6</f>
        <v>0</v>
      </c>
      <c r="P6" t="s">
        <v>145</v>
      </c>
      <c r="Q6">
        <f>SUMIF('Data input'!$F$3:$F$202,$P$2:$P$22,'Data input'!$K$3:$K$202)</f>
        <v>0</v>
      </c>
      <c r="S6" t="str">
        <f>Lists!F6</f>
        <v>Mostly recyclable</v>
      </c>
      <c r="T6">
        <f>SUMIF('Data input'!$L$3:$L$202,$S$2:$S$7,'Data input'!$K$3:$K$202)</f>
        <v>0</v>
      </c>
    </row>
    <row r="7" spans="1:20" x14ac:dyDescent="0.35">
      <c r="A7" t="str">
        <f>Lists!A7</f>
        <v>Wood_untreated</v>
      </c>
      <c r="B7" s="6">
        <f>SUMIF(Costs!A$2:A$200,Lists!A7,Costs!G$2:G$200)</f>
        <v>0</v>
      </c>
      <c r="C7" s="6">
        <f>SUMIF(Costs!$A$2:$A$200,A7,Costs!$L$2:$L$200)</f>
        <v>0</v>
      </c>
      <c r="D7" s="6">
        <f>SUMIF(Costs!$A$2:$A$200,A7,Costs!$M$2:$M$200)</f>
        <v>0</v>
      </c>
      <c r="E7" s="6">
        <f>SUMIF(Costs!$A$2:$A$200,A7,Costs!$N$2:$N$200)</f>
        <v>0</v>
      </c>
      <c r="F7" s="6">
        <f t="shared" si="1"/>
        <v>0</v>
      </c>
      <c r="G7" s="4"/>
      <c r="H7" s="6">
        <f t="shared" si="0"/>
        <v>0</v>
      </c>
      <c r="N7">
        <f>SUMIF('Data input'!$B$3:$B$202,Lists!A7,'Data input'!$K$3:$K$202)</f>
        <v>0</v>
      </c>
      <c r="O7">
        <f>N7*Lists!C7</f>
        <v>0</v>
      </c>
      <c r="P7" t="s">
        <v>153</v>
      </c>
      <c r="Q7">
        <f>SUMIF('Data input'!$F$3:$F$202,$P$2:$P$22,'Data input'!$K$3:$K$202)</f>
        <v>0</v>
      </c>
      <c r="S7" t="str">
        <f>Lists!F7</f>
        <v>Disposal/Landfill</v>
      </c>
      <c r="T7">
        <f>SUMIF('Data input'!$L$3:$L$202,$S$2:$S$7,'Data input'!$K$3:$K$202)</f>
        <v>0</v>
      </c>
    </row>
    <row r="8" spans="1:20" x14ac:dyDescent="0.35">
      <c r="A8" t="str">
        <f>Lists!A8</f>
        <v>Treated_wood_glass_plastic_including_wood_plastic_window_frames</v>
      </c>
      <c r="B8" s="6">
        <f>SUMIF(Costs!A$2:A$200,Lists!A8,Costs!G$2:G$200)</f>
        <v>0</v>
      </c>
      <c r="C8" s="6">
        <f>SUMIF(Costs!$A$2:$A$200,A8,Costs!$L$2:$L$200)</f>
        <v>0</v>
      </c>
      <c r="D8" s="6">
        <f>SUMIF(Costs!$A$2:$A$200,A8,Costs!$M$2:$M$200)</f>
        <v>0</v>
      </c>
      <c r="E8" s="6">
        <f>SUMIF(Costs!$A$2:$A$200,A8,Costs!$N$2:$N$200)</f>
        <v>0</v>
      </c>
      <c r="F8" s="6">
        <f t="shared" si="1"/>
        <v>0</v>
      </c>
      <c r="G8" s="4"/>
      <c r="H8" s="6">
        <f t="shared" si="0"/>
        <v>0</v>
      </c>
      <c r="N8">
        <f>SUMIF('Data input'!$B$3:$B$202,Lists!A8,'Data input'!$K$3:$K$202)</f>
        <v>0</v>
      </c>
      <c r="O8">
        <f>N8*Lists!C8</f>
        <v>0</v>
      </c>
      <c r="P8" t="s">
        <v>160</v>
      </c>
      <c r="Q8">
        <f>SUMIF('Data input'!$F$3:$F$202,$P$2:$P$22,'Data input'!$K$3:$K$202)</f>
        <v>0</v>
      </c>
    </row>
    <row r="9" spans="1:20" x14ac:dyDescent="0.35">
      <c r="A9" t="str">
        <f>Lists!A9</f>
        <v>Glass_uncontaminated</v>
      </c>
      <c r="B9" s="6">
        <f>SUMIF(Costs!A$2:A$200,Lists!A9,Costs!G$2:G$200)</f>
        <v>0</v>
      </c>
      <c r="C9" s="6">
        <f>SUMIF(Costs!$A$2:$A$200,A9,Costs!$L$2:$L$200)</f>
        <v>0</v>
      </c>
      <c r="D9" s="6">
        <f>SUMIF(Costs!$A$2:$A$200,A9,Costs!$M$2:$M$200)</f>
        <v>0</v>
      </c>
      <c r="E9" s="6">
        <f>SUMIF(Costs!$A$2:$A$200,A9,Costs!$N$2:$N$200)</f>
        <v>0</v>
      </c>
      <c r="F9" s="6">
        <f t="shared" si="1"/>
        <v>0</v>
      </c>
      <c r="G9" s="4"/>
      <c r="H9" s="6">
        <f t="shared" si="0"/>
        <v>0</v>
      </c>
      <c r="N9">
        <f>SUMIF('Data input'!$B$3:$B$202,Lists!A9,'Data input'!$K$3:$K$202)</f>
        <v>0</v>
      </c>
      <c r="O9">
        <f>N9*Lists!C9</f>
        <v>0</v>
      </c>
      <c r="P9" t="s">
        <v>166</v>
      </c>
      <c r="Q9">
        <f>SUMIF('Data input'!$F$3:$F$202,$P$2:$P$22,'Data input'!$K$3:$K$202)</f>
        <v>0</v>
      </c>
    </row>
    <row r="10" spans="1:20" x14ac:dyDescent="0.35">
      <c r="A10" t="str">
        <f>Lists!A10</f>
        <v>Plastic_excluding_packaging_waste</v>
      </c>
      <c r="B10" s="6">
        <f>SUMIF(Costs!A$2:A$200,Lists!A10,Costs!G$2:G$200)</f>
        <v>0</v>
      </c>
      <c r="C10" s="6">
        <f>SUMIF(Costs!$A$2:$A$200,A10,Costs!$L$2:$L$200)</f>
        <v>0</v>
      </c>
      <c r="D10" s="6">
        <f>SUMIF(Costs!$A$2:$A$200,A10,Costs!$M$2:$M$200)</f>
        <v>0</v>
      </c>
      <c r="E10" s="6">
        <f>SUMIF(Costs!$A$2:$A$200,A10,Costs!$N$2:$N$200)</f>
        <v>0</v>
      </c>
      <c r="F10" s="6">
        <f t="shared" si="1"/>
        <v>0</v>
      </c>
      <c r="G10" s="4"/>
      <c r="H10" s="6">
        <f t="shared" si="0"/>
        <v>0</v>
      </c>
      <c r="N10">
        <f>SUMIF('Data input'!$B$3:$B$202,Lists!A10,'Data input'!$K$3:$K$202)</f>
        <v>0</v>
      </c>
      <c r="O10">
        <f>N10*Lists!C10</f>
        <v>0</v>
      </c>
      <c r="P10" t="s">
        <v>172</v>
      </c>
      <c r="Q10">
        <f>SUMIF('Data input'!$F$3:$F$202,$P$2:$P$22,'Data input'!$K$3:$K$202)</f>
        <v>0</v>
      </c>
    </row>
    <row r="11" spans="1:20" x14ac:dyDescent="0.35">
      <c r="A11" t="str">
        <f>Lists!A11</f>
        <v>Bituminous_mixtures_containing_coal_tar</v>
      </c>
      <c r="B11" s="6">
        <f>SUMIF(Costs!A$2:A$200,Lists!A11,Costs!G$2:G$200)</f>
        <v>0</v>
      </c>
      <c r="C11" s="6">
        <f>SUMIF(Costs!$A$2:$A$200,A11,Costs!$L$2:$L$200)</f>
        <v>0</v>
      </c>
      <c r="D11" s="6">
        <f>SUMIF(Costs!$A$2:$A$200,A11,Costs!$M$2:$M$200)</f>
        <v>0</v>
      </c>
      <c r="E11" s="6">
        <f>SUMIF(Costs!$A$2:$A$200,A11,Costs!$N$2:$N$200)</f>
        <v>0</v>
      </c>
      <c r="F11" s="6">
        <f t="shared" si="1"/>
        <v>0</v>
      </c>
      <c r="G11" s="4"/>
      <c r="H11" s="6">
        <f t="shared" si="0"/>
        <v>0</v>
      </c>
      <c r="N11">
        <f>SUMIF('Data input'!$B$3:$B$202,Lists!A11,'Data input'!$K$3:$K$202)</f>
        <v>0</v>
      </c>
      <c r="O11">
        <f>N11*Lists!C11</f>
        <v>0</v>
      </c>
      <c r="P11" t="s">
        <v>178</v>
      </c>
      <c r="Q11">
        <f>SUMIF('Data input'!$F$3:$F$202,$P$2:$P$22,'Data input'!$K$3:$K$202)</f>
        <v>0</v>
      </c>
    </row>
    <row r="12" spans="1:20" x14ac:dyDescent="0.35">
      <c r="A12" t="str">
        <f>Lists!A12</f>
        <v>Other_bituminous_mixtures</v>
      </c>
      <c r="B12" s="6">
        <f>SUMIF(Costs!A$2:A$200,Lists!A12,Costs!G$2:G$200)</f>
        <v>0</v>
      </c>
      <c r="C12" s="6">
        <f>SUMIF(Costs!$A$2:$A$200,A12,Costs!$L$2:$L$200)</f>
        <v>0</v>
      </c>
      <c r="D12" s="6">
        <f>SUMIF(Costs!$A$2:$A$200,A12,Costs!$M$2:$M$200)</f>
        <v>0</v>
      </c>
      <c r="E12" s="6">
        <f>SUMIF(Costs!$A$2:$A$200,A12,Costs!$N$2:$N$200)</f>
        <v>0</v>
      </c>
      <c r="F12" s="6">
        <f t="shared" si="1"/>
        <v>0</v>
      </c>
      <c r="G12" s="4"/>
      <c r="H12" s="6">
        <f t="shared" si="0"/>
        <v>0</v>
      </c>
      <c r="N12">
        <f>SUMIF('Data input'!$B$3:$B$202,Lists!A12,'Data input'!$K$3:$K$202)</f>
        <v>0</v>
      </c>
      <c r="O12">
        <f>N12*Lists!C12</f>
        <v>0</v>
      </c>
      <c r="P12" t="s">
        <v>184</v>
      </c>
      <c r="Q12">
        <f>SUMIF('Data input'!$F$3:$F$202,$P$2:$P$22,'Data input'!$K$3:$K$202)</f>
        <v>0</v>
      </c>
    </row>
    <row r="13" spans="1:20" x14ac:dyDescent="0.35">
      <c r="A13" t="str">
        <f>Lists!A13</f>
        <v>Coal_tar_and_tarred_products</v>
      </c>
      <c r="B13" s="6">
        <f>SUMIF(Costs!A$2:A$200,Lists!A13,Costs!G$2:G$200)</f>
        <v>0</v>
      </c>
      <c r="C13" s="6">
        <f>SUMIF(Costs!$A$2:$A$200,A13,Costs!$L$2:$L$200)</f>
        <v>0</v>
      </c>
      <c r="D13" s="6">
        <f>SUMIF(Costs!$A$2:$A$200,A13,Costs!$M$2:$M$200)</f>
        <v>0</v>
      </c>
      <c r="E13" s="6">
        <f>SUMIF(Costs!$A$2:$A$200,A13,Costs!$N$2:$N$200)</f>
        <v>0</v>
      </c>
      <c r="F13" s="6">
        <f t="shared" si="1"/>
        <v>0</v>
      </c>
      <c r="G13" s="4"/>
      <c r="H13" s="6">
        <f t="shared" si="0"/>
        <v>0</v>
      </c>
      <c r="N13">
        <f>SUMIF('Data input'!$B$3:$B$202,Lists!A13,'Data input'!$K$3:$K$202)</f>
        <v>0</v>
      </c>
      <c r="O13">
        <f>N13*Lists!C13</f>
        <v>0</v>
      </c>
      <c r="P13" t="s">
        <v>196</v>
      </c>
      <c r="Q13">
        <f>SUMIF('Data input'!$F$3:$F$202,$P$2:$P$22,'Data input'!$K$3:$K$202)</f>
        <v>0</v>
      </c>
    </row>
    <row r="14" spans="1:20" x14ac:dyDescent="0.35">
      <c r="A14" t="str">
        <f>Lists!A14</f>
        <v>Copper_bronze_and_brass</v>
      </c>
      <c r="B14" s="6">
        <f>SUMIF(Costs!A$2:A$200,Lists!A14,Costs!G$2:G$200)</f>
        <v>0</v>
      </c>
      <c r="C14" s="6">
        <f>SUMIF(Costs!$A$2:$A$200,A14,Costs!$L$2:$L$200)</f>
        <v>0</v>
      </c>
      <c r="D14" s="6">
        <f>SUMIF(Costs!$A$2:$A$200,A14,Costs!$M$2:$M$200)</f>
        <v>0</v>
      </c>
      <c r="E14" s="6">
        <f>SUMIF(Costs!$A$2:$A$200,A14,Costs!$N$2:$N$200)</f>
        <v>0</v>
      </c>
      <c r="F14" s="6">
        <f t="shared" si="1"/>
        <v>0</v>
      </c>
      <c r="G14" s="4"/>
      <c r="H14" s="6">
        <f t="shared" si="0"/>
        <v>0</v>
      </c>
      <c r="N14">
        <f>SUMIF('Data input'!$B$3:$B$202,Lists!A14,'Data input'!$K$3:$K$202)</f>
        <v>0</v>
      </c>
      <c r="O14">
        <f>N14*Lists!C14</f>
        <v>0</v>
      </c>
      <c r="P14" t="s">
        <v>203</v>
      </c>
      <c r="Q14">
        <f>SUMIF('Data input'!$F$3:$F$202,$P$2:$P$22,'Data input'!$K$3:$K$202)</f>
        <v>0</v>
      </c>
    </row>
    <row r="15" spans="1:20" x14ac:dyDescent="0.35">
      <c r="A15" t="str">
        <f>Lists!A15</f>
        <v>Aluminium</v>
      </c>
      <c r="B15" s="6">
        <f>SUMIF(Costs!A$2:A$200,Lists!A15,Costs!G$2:G$200)</f>
        <v>0</v>
      </c>
      <c r="C15" s="6">
        <f>SUMIF(Costs!$A$2:$A$200,A15,Costs!$L$2:$L$200)</f>
        <v>0</v>
      </c>
      <c r="D15" s="6">
        <f>SUMIF(Costs!$A$2:$A$200,A15,Costs!$M$2:$M$200)</f>
        <v>0</v>
      </c>
      <c r="E15" s="6">
        <f>SUMIF(Costs!$A$2:$A$200,A15,Costs!$N$2:$N$200)</f>
        <v>0</v>
      </c>
      <c r="F15" s="6">
        <f t="shared" si="1"/>
        <v>0</v>
      </c>
      <c r="G15" s="4"/>
      <c r="H15" s="6">
        <f t="shared" si="0"/>
        <v>0</v>
      </c>
      <c r="N15">
        <f>SUMIF('Data input'!$B$3:$B$202,Lists!A15,'Data input'!$K$3:$K$202)</f>
        <v>0</v>
      </c>
      <c r="O15">
        <f>N15*Lists!C15</f>
        <v>0</v>
      </c>
      <c r="P15" t="s">
        <v>209</v>
      </c>
      <c r="Q15">
        <f>SUMIF('Data input'!$F$3:$F$202,$P$2:$P$22,'Data input'!$K$3:$K$202)</f>
        <v>0</v>
      </c>
    </row>
    <row r="16" spans="1:20" x14ac:dyDescent="0.35">
      <c r="A16" t="str">
        <f>Lists!A16</f>
        <v>Lead</v>
      </c>
      <c r="B16" s="6">
        <f>SUMIF(Costs!A$2:A$200,Lists!A16,Costs!G$2:G$200)</f>
        <v>0</v>
      </c>
      <c r="C16" s="6">
        <f>SUMIF(Costs!$A$2:$A$200,A16,Costs!$L$2:$L$200)</f>
        <v>0</v>
      </c>
      <c r="D16" s="6">
        <f>SUMIF(Costs!$A$2:$A$200,A16,Costs!$M$2:$M$200)</f>
        <v>0</v>
      </c>
      <c r="E16" s="6">
        <f>SUMIF(Costs!$A$2:$A$200,A16,Costs!$N$2:$N$200)</f>
        <v>0</v>
      </c>
      <c r="F16" s="6">
        <f t="shared" si="1"/>
        <v>0</v>
      </c>
      <c r="G16" s="4"/>
      <c r="H16" s="6">
        <f t="shared" si="0"/>
        <v>0</v>
      </c>
      <c r="N16">
        <f>SUMIF('Data input'!$B$3:$B$202,Lists!A16,'Data input'!$K$3:$K$202)</f>
        <v>0</v>
      </c>
      <c r="O16">
        <f>N16*Lists!C16</f>
        <v>0</v>
      </c>
      <c r="P16" t="s">
        <v>215</v>
      </c>
      <c r="Q16">
        <f>SUMIF('Data input'!$F$3:$F$202,$P$2:$P$22,'Data input'!$K$3:$K$202)</f>
        <v>0</v>
      </c>
    </row>
    <row r="17" spans="1:17" x14ac:dyDescent="0.35">
      <c r="A17" t="str">
        <f>Lists!A17</f>
        <v>Iron_and_steel</v>
      </c>
      <c r="B17" s="6">
        <f>SUMIF(Costs!A$2:A$200,Lists!A17,Costs!G$2:G$200)</f>
        <v>0</v>
      </c>
      <c r="C17" s="6">
        <f>SUMIF(Costs!$A$2:$A$200,A17,Costs!$L$2:$L$200)</f>
        <v>0</v>
      </c>
      <c r="D17" s="6">
        <f>SUMIF(Costs!$A$2:$A$200,A17,Costs!$M$2:$M$200)</f>
        <v>0</v>
      </c>
      <c r="E17" s="6">
        <f>SUMIF(Costs!$A$2:$A$200,A17,Costs!$N$2:$N$200)</f>
        <v>0</v>
      </c>
      <c r="F17" s="6">
        <f t="shared" si="1"/>
        <v>0</v>
      </c>
      <c r="G17" s="4"/>
      <c r="H17" s="6">
        <f t="shared" si="0"/>
        <v>0</v>
      </c>
      <c r="N17">
        <f>SUMIF('Data input'!$B$3:$B$202,Lists!A17,'Data input'!$K$3:$K$202)</f>
        <v>0</v>
      </c>
      <c r="O17">
        <f>N17*Lists!C17</f>
        <v>0</v>
      </c>
      <c r="P17" t="s">
        <v>221</v>
      </c>
      <c r="Q17">
        <f>SUMIF('Data input'!$F$3:$F$202,$P$2:$P$22,'Data input'!$K$3:$K$202)</f>
        <v>0</v>
      </c>
    </row>
    <row r="18" spans="1:17" x14ac:dyDescent="0.35">
      <c r="A18" t="str">
        <f>Lists!A18</f>
        <v>Tin</v>
      </c>
      <c r="B18" s="6">
        <f>SUMIF(Costs!A$2:A$200,Lists!A18,Costs!G$2:G$200)</f>
        <v>0</v>
      </c>
      <c r="C18" s="6">
        <f>SUMIF(Costs!$A$2:$A$200,A18,Costs!$L$2:$L$200)</f>
        <v>0</v>
      </c>
      <c r="D18" s="6">
        <f>SUMIF(Costs!$A$2:$A$200,A18,Costs!$M$2:$M$200)</f>
        <v>0</v>
      </c>
      <c r="E18" s="6">
        <f>SUMIF(Costs!$A$2:$A$200,A18,Costs!$N$2:$N$200)</f>
        <v>0</v>
      </c>
      <c r="F18" s="6">
        <f t="shared" si="1"/>
        <v>0</v>
      </c>
      <c r="G18" s="4"/>
      <c r="H18" s="6">
        <f t="shared" si="0"/>
        <v>0</v>
      </c>
      <c r="N18">
        <f>SUMIF('Data input'!$B$3:$B$202,Lists!A18,'Data input'!$K$3:$K$202)</f>
        <v>0</v>
      </c>
      <c r="O18">
        <f>N18*Lists!C18</f>
        <v>0</v>
      </c>
      <c r="P18" t="s">
        <v>226</v>
      </c>
      <c r="Q18">
        <f>SUMIF('Data input'!$F$3:$F$202,$P$2:$P$22,'Data input'!$K$3:$K$202)</f>
        <v>0</v>
      </c>
    </row>
    <row r="19" spans="1:17" x14ac:dyDescent="0.35">
      <c r="A19" t="str">
        <f>Lists!A19</f>
        <v>Mixed_metals</v>
      </c>
      <c r="B19" s="6">
        <f>SUMIF(Costs!A$2:A$200,Lists!A19,Costs!G$2:G$200)</f>
        <v>0</v>
      </c>
      <c r="C19" s="6">
        <f>SUMIF(Costs!$A$2:$A$200,A19,Costs!$L$2:$L$200)</f>
        <v>0</v>
      </c>
      <c r="D19" s="6">
        <f>SUMIF(Costs!$A$2:$A$200,A19,Costs!$M$2:$M$200)</f>
        <v>0</v>
      </c>
      <c r="E19" s="6">
        <f>SUMIF(Costs!$A$2:$A$200,A19,Costs!$N$2:$N$200)</f>
        <v>0</v>
      </c>
      <c r="F19" s="6">
        <f t="shared" si="1"/>
        <v>0</v>
      </c>
      <c r="G19" s="4"/>
      <c r="H19" s="6">
        <f t="shared" si="0"/>
        <v>0</v>
      </c>
      <c r="N19">
        <f>SUMIF('Data input'!$B$3:$B$202,Lists!A19,'Data input'!$K$3:$K$202)</f>
        <v>0</v>
      </c>
      <c r="O19">
        <f>N19*Lists!C19</f>
        <v>0</v>
      </c>
      <c r="P19" t="s">
        <v>232</v>
      </c>
      <c r="Q19">
        <f>SUMIF('Data input'!$F$3:$F$202,$P$2:$P$22,'Data input'!$K$3:$K$202)</f>
        <v>0</v>
      </c>
    </row>
    <row r="20" spans="1:17" x14ac:dyDescent="0.35">
      <c r="A20" t="str">
        <f>Lists!A20</f>
        <v>Cables</v>
      </c>
      <c r="B20" s="6">
        <f>SUMIF(Costs!A$2:A$200,Lists!A20,Costs!G$2:G$200)</f>
        <v>0</v>
      </c>
      <c r="C20" s="6">
        <f>SUMIF(Costs!$A$2:$A$200,A20,Costs!$L$2:$L$200)</f>
        <v>0</v>
      </c>
      <c r="D20" s="6">
        <f>SUMIF(Costs!$A$2:$A$200,A20,Costs!$M$2:$M$200)</f>
        <v>0</v>
      </c>
      <c r="E20" s="6">
        <f>SUMIF(Costs!$A$2:$A$200,A20,Costs!$N$2:$N$200)</f>
        <v>0</v>
      </c>
      <c r="F20" s="6">
        <f t="shared" si="1"/>
        <v>0</v>
      </c>
      <c r="G20" s="4"/>
      <c r="H20" s="6">
        <f t="shared" si="0"/>
        <v>0</v>
      </c>
      <c r="N20">
        <f>SUMIF('Data input'!$B$3:$B$202,Lists!A20,'Data input'!$K$3:$K$202)</f>
        <v>0</v>
      </c>
      <c r="O20">
        <f>N20*Lists!C20</f>
        <v>0</v>
      </c>
      <c r="P20" t="s">
        <v>238</v>
      </c>
      <c r="Q20">
        <f>SUMIF('Data input'!$F$3:$F$202,$P$2:$P$22,'Data input'!$K$3:$K$202)</f>
        <v>0</v>
      </c>
    </row>
    <row r="21" spans="1:17" x14ac:dyDescent="0.35">
      <c r="A21" t="str">
        <f>Lists!A21</f>
        <v>Inert_soil_and_stones</v>
      </c>
      <c r="B21" s="6">
        <f>SUMIF(Costs!A$2:A$200,Lists!A21,Costs!G$2:G$200)</f>
        <v>0</v>
      </c>
      <c r="C21" s="6">
        <f>SUMIF(Costs!$A$2:$A$200,A21,Costs!$L$2:$L$200)</f>
        <v>0</v>
      </c>
      <c r="D21" s="6">
        <f>SUMIF(Costs!$A$2:$A$200,A21,Costs!$M$2:$M$200)</f>
        <v>0</v>
      </c>
      <c r="E21" s="6">
        <f>SUMIF(Costs!$A$2:$A$200,A21,Costs!$N$2:$N$200)</f>
        <v>0</v>
      </c>
      <c r="F21" s="6">
        <f t="shared" si="1"/>
        <v>0</v>
      </c>
      <c r="G21" s="4"/>
      <c r="H21" s="6">
        <f t="shared" si="0"/>
        <v>0</v>
      </c>
      <c r="N21">
        <f>SUMIF('Data input'!$B$3:$B$202,Lists!A21,'Data input'!$K$3:$K$202)</f>
        <v>0</v>
      </c>
      <c r="O21">
        <f>N21*Lists!C21</f>
        <v>0</v>
      </c>
      <c r="P21" t="s">
        <v>243</v>
      </c>
      <c r="Q21">
        <f>SUMIF('Data input'!$F$3:$F$202,$P$2:$P$22,'Data input'!$K$3:$K$202)</f>
        <v>0</v>
      </c>
    </row>
    <row r="22" spans="1:17" x14ac:dyDescent="0.35">
      <c r="A22" t="str">
        <f>Lists!A22</f>
        <v>Dredging_spoil</v>
      </c>
      <c r="B22" s="6">
        <f>SUMIF(Costs!A$2:A$200,Lists!A22,Costs!G$2:G$200)</f>
        <v>0</v>
      </c>
      <c r="C22" s="6">
        <f>SUMIF(Costs!$A$2:$A$200,A22,Costs!$L$2:$L$200)</f>
        <v>0</v>
      </c>
      <c r="D22" s="6">
        <f>SUMIF(Costs!$A$2:$A$200,A22,Costs!$M$2:$M$200)</f>
        <v>0</v>
      </c>
      <c r="E22" s="6">
        <f>SUMIF(Costs!$A$2:$A$200,A22,Costs!$N$2:$N$200)</f>
        <v>0</v>
      </c>
      <c r="F22" s="6">
        <f t="shared" si="1"/>
        <v>0</v>
      </c>
      <c r="G22" s="4"/>
      <c r="H22" s="6">
        <f t="shared" si="0"/>
        <v>0</v>
      </c>
      <c r="N22">
        <f>SUMIF('Data input'!$B$3:$B$202,Lists!A22,'Data input'!$K$3:$K$202)</f>
        <v>0</v>
      </c>
      <c r="O22">
        <f>N22*Lists!C22</f>
        <v>0</v>
      </c>
      <c r="P22" t="s">
        <v>251</v>
      </c>
      <c r="Q22">
        <f>SUMIF('Data input'!$F$3:$F$202,$P$2:$P$22,'Data input'!$K$3:$K$202)</f>
        <v>0</v>
      </c>
    </row>
    <row r="23" spans="1:17" x14ac:dyDescent="0.35">
      <c r="A23" t="str">
        <f>Lists!A23</f>
        <v>Gypsum_materials</v>
      </c>
      <c r="B23" s="6">
        <f>SUMIF(Costs!A$2:A$200,Lists!A23,Costs!G$2:G$200)</f>
        <v>0</v>
      </c>
      <c r="C23" s="6">
        <f>SUMIF(Costs!$A$2:$A$200,A23,Costs!$L$2:$L$200)</f>
        <v>0</v>
      </c>
      <c r="D23" s="6">
        <f>SUMIF(Costs!$A$2:$A$200,A23,Costs!$M$2:$M$200)</f>
        <v>0</v>
      </c>
      <c r="E23" s="6">
        <f>SUMIF(Costs!$A$2:$A$200,A23,Costs!$N$2:$N$200)</f>
        <v>0</v>
      </c>
      <c r="F23" s="6">
        <f t="shared" si="1"/>
        <v>0</v>
      </c>
      <c r="G23" s="4"/>
      <c r="H23" s="6">
        <f t="shared" si="0"/>
        <v>0</v>
      </c>
      <c r="N23">
        <f>SUMIF('Data input'!$B$3:$B$202,Lists!A23,'Data input'!$K$3:$K$202)</f>
        <v>0</v>
      </c>
      <c r="O23">
        <f>N23*Lists!C23</f>
        <v>0</v>
      </c>
    </row>
    <row r="24" spans="1:17" x14ac:dyDescent="0.35">
      <c r="A24" t="str">
        <f>Lists!A24</f>
        <v>Unused_or_unset_cement</v>
      </c>
      <c r="B24" s="6">
        <f>SUMIF(Costs!A$2:A$200,Lists!A24,Costs!G$2:G$200)</f>
        <v>0</v>
      </c>
      <c r="C24" s="6">
        <f>SUMIF(Costs!$A$2:$A$200,A24,Costs!$L$2:$L$200)</f>
        <v>0</v>
      </c>
      <c r="D24" s="6">
        <f>SUMIF(Costs!$A$2:$A$200,A24,Costs!$M$2:$M$200)</f>
        <v>0</v>
      </c>
      <c r="E24" s="6">
        <f>SUMIF(Costs!$A$2:$A$200,A24,Costs!$N$2:$N$200)</f>
        <v>0</v>
      </c>
      <c r="F24" s="6">
        <f t="shared" si="1"/>
        <v>0</v>
      </c>
      <c r="G24" s="4"/>
      <c r="H24" s="6">
        <f t="shared" si="0"/>
        <v>0</v>
      </c>
      <c r="N24">
        <f>SUMIF('Data input'!$B$3:$B$202,Lists!A24,'Data input'!$K$3:$K$202)</f>
        <v>0</v>
      </c>
      <c r="O24">
        <f>N24*Lists!C24</f>
        <v>0</v>
      </c>
    </row>
    <row r="25" spans="1:17" x14ac:dyDescent="0.35">
      <c r="A25" t="str">
        <f>Lists!A25</f>
        <v>Mixed_construction_and_demolition_wastes</v>
      </c>
      <c r="B25" s="6">
        <f>SUMIF(Costs!A$2:A$200,Lists!A25,Costs!G$2:G$200)</f>
        <v>0</v>
      </c>
      <c r="C25" s="6">
        <f>SUMIF(Costs!$A$2:$A$200,A25,Costs!$L$2:$L$200)</f>
        <v>0</v>
      </c>
      <c r="D25" s="6">
        <f>SUMIF(Costs!$A$2:$A$200,A25,Costs!$M$2:$M$200)</f>
        <v>0</v>
      </c>
      <c r="E25" s="6">
        <f>SUMIF(Costs!$A$2:$A$200,A25,Costs!$N$2:$N$200)</f>
        <v>0</v>
      </c>
      <c r="F25" s="6">
        <f t="shared" si="1"/>
        <v>0</v>
      </c>
      <c r="G25" s="4"/>
      <c r="H25" s="6">
        <f t="shared" si="0"/>
        <v>0</v>
      </c>
      <c r="N25">
        <f>SUMIF('Data input'!$B$3:$B$202,Lists!A25,'Data input'!$K$3:$K$202)</f>
        <v>0</v>
      </c>
      <c r="O25">
        <f>N25*Lists!C25</f>
        <v>0</v>
      </c>
    </row>
    <row r="26" spans="1:17" x14ac:dyDescent="0.35">
      <c r="A26" t="str">
        <f>Lists!A26</f>
        <v>Paints_and_varnishes_Containing_organic_solvents_or_other_hazardous_substances</v>
      </c>
      <c r="B26" s="6">
        <f>SUMIF(Costs!A$2:A$200,Lists!A26,Costs!G$2:G$200)</f>
        <v>0</v>
      </c>
      <c r="C26" s="6">
        <f>SUMIF(Costs!$A$2:$A$200,A26,Costs!$L$2:$L$200)</f>
        <v>0</v>
      </c>
      <c r="D26" s="6">
        <f>SUMIF(Costs!$A$2:$A$200,A26,Costs!$M$2:$M$200)</f>
        <v>0</v>
      </c>
      <c r="E26" s="6">
        <f>SUMIF(Costs!$A$2:$A$200,A26,Costs!$N$2:$N$200)</f>
        <v>0</v>
      </c>
      <c r="F26" s="6">
        <f t="shared" si="1"/>
        <v>0</v>
      </c>
      <c r="G26" s="4"/>
      <c r="H26" s="6">
        <f t="shared" si="0"/>
        <v>0</v>
      </c>
      <c r="N26">
        <f>SUMIF('Data input'!$B$3:$B$202,Lists!A26,'Data input'!$K$3:$K$202)</f>
        <v>0</v>
      </c>
      <c r="O26">
        <f>N26*Lists!C26</f>
        <v>0</v>
      </c>
    </row>
    <row r="27" spans="1:17" x14ac:dyDescent="0.35">
      <c r="A27" t="str">
        <f>Lists!A27</f>
        <v>Paints_and_varnishes_Not_containing_organic_solvents_or_other_hazardous_substances</v>
      </c>
      <c r="B27" s="6">
        <f>SUMIF(Costs!A$2:A$200,Lists!A27,Costs!G$2:G$200)</f>
        <v>0</v>
      </c>
      <c r="C27" s="6">
        <f>SUMIF(Costs!$A$2:$A$200,A27,Costs!$L$2:$L$200)</f>
        <v>0</v>
      </c>
      <c r="D27" s="6">
        <f>SUMIF(Costs!$A$2:$A$200,A27,Costs!$M$2:$M$200)</f>
        <v>0</v>
      </c>
      <c r="E27" s="6">
        <f>SUMIF(Costs!$A$2:$A$200,A27,Costs!$N$2:$N$200)</f>
        <v>0</v>
      </c>
      <c r="F27" s="6">
        <f t="shared" si="1"/>
        <v>0</v>
      </c>
      <c r="G27" s="4"/>
      <c r="H27" s="6">
        <f t="shared" si="0"/>
        <v>0</v>
      </c>
      <c r="N27">
        <f>SUMIF('Data input'!$B$3:$B$202,Lists!A27,'Data input'!$K$3:$K$202)</f>
        <v>0</v>
      </c>
      <c r="O27">
        <f>N27*Lists!C27</f>
        <v>0</v>
      </c>
    </row>
    <row r="28" spans="1:17" x14ac:dyDescent="0.35">
      <c r="A28" t="str">
        <f>Lists!A28</f>
        <v>Packaging_Paper_and_Card</v>
      </c>
      <c r="B28" s="6">
        <f>SUMIF(Costs!A$2:A$200,Lists!A28,Costs!G$2:G$200)</f>
        <v>0</v>
      </c>
      <c r="C28" s="6">
        <f>SUMIF(Costs!$A$2:$A$200,A28,Costs!$L$2:$L$200)</f>
        <v>0</v>
      </c>
      <c r="D28" s="6">
        <f>SUMIF(Costs!$A$2:$A$200,A28,Costs!$M$2:$M$200)</f>
        <v>0</v>
      </c>
      <c r="E28" s="6">
        <f>SUMIF(Costs!$A$2:$A$200,A28,Costs!$N$2:$N$200)</f>
        <v>0</v>
      </c>
      <c r="F28" s="6">
        <f t="shared" si="1"/>
        <v>0</v>
      </c>
      <c r="G28" s="4"/>
      <c r="H28" s="6">
        <f t="shared" si="0"/>
        <v>0</v>
      </c>
      <c r="N28">
        <f>SUMIF('Data input'!$B$3:$B$202,Lists!A28,'Data input'!$K$3:$K$202)</f>
        <v>0</v>
      </c>
      <c r="O28">
        <f>N28*Lists!C28</f>
        <v>0</v>
      </c>
    </row>
    <row r="29" spans="1:17" x14ac:dyDescent="0.35">
      <c r="A29" t="str">
        <f>Lists!A29</f>
        <v>Packaging_Plastic</v>
      </c>
      <c r="B29" s="6">
        <f>SUMIF(Costs!A$2:A$200,Lists!A29,Costs!G$2:G$200)</f>
        <v>0</v>
      </c>
      <c r="C29" s="6">
        <f>SUMIF(Costs!$A$2:$A$200,A29,Costs!$L$2:$L$200)</f>
        <v>0</v>
      </c>
      <c r="D29" s="6">
        <f>SUMIF(Costs!$A$2:$A$200,A29,Costs!$M$2:$M$200)</f>
        <v>0</v>
      </c>
      <c r="E29" s="6">
        <f>SUMIF(Costs!$A$2:$A$200,A29,Costs!$N$2:$N$200)</f>
        <v>0</v>
      </c>
      <c r="F29" s="6">
        <f t="shared" si="1"/>
        <v>0</v>
      </c>
      <c r="G29" s="4"/>
      <c r="H29" s="6">
        <f t="shared" si="0"/>
        <v>0</v>
      </c>
      <c r="N29">
        <f>SUMIF('Data input'!$B$3:$B$202,Lists!A29,'Data input'!$K$3:$K$202)</f>
        <v>0</v>
      </c>
      <c r="O29">
        <f>N29*Lists!C29</f>
        <v>0</v>
      </c>
    </row>
    <row r="30" spans="1:17" x14ac:dyDescent="0.35">
      <c r="A30" t="str">
        <f>Lists!A30</f>
        <v>Packaging_wooden</v>
      </c>
      <c r="B30" s="6">
        <f>SUMIF(Costs!A$2:A$200,Lists!A30,Costs!G$2:G$200)</f>
        <v>0</v>
      </c>
      <c r="C30" s="6">
        <f>SUMIF(Costs!$A$2:$A$200,A30,Costs!$L$2:$L$200)</f>
        <v>0</v>
      </c>
      <c r="D30" s="6">
        <f>SUMIF(Costs!$A$2:$A$200,A30,Costs!$M$2:$M$200)</f>
        <v>0</v>
      </c>
      <c r="E30" s="6">
        <f>SUMIF(Costs!$A$2:$A$200,A30,Costs!$N$2:$N$200)</f>
        <v>0</v>
      </c>
      <c r="F30" s="6">
        <f t="shared" ref="F30" si="2">(B30+E30)</f>
        <v>0</v>
      </c>
      <c r="G30" s="4"/>
      <c r="H30" s="6">
        <f t="shared" ref="H30" si="3">C30+D30</f>
        <v>0</v>
      </c>
      <c r="N30">
        <f>SUMIF('Data input'!$B$3:$B$202,Lists!A30,'Data input'!$K$3:$K$202)</f>
        <v>0</v>
      </c>
      <c r="O30">
        <f>N30*Lists!C30</f>
        <v>0</v>
      </c>
    </row>
    <row r="31" spans="1:17" x14ac:dyDescent="0.35">
      <c r="A31" t="str">
        <f>Lists!A31</f>
        <v>Packaging_Metal</v>
      </c>
      <c r="B31" s="6">
        <f>SUMIF(Costs!A$2:A$200,Lists!A31,Costs!G$2:G$200)</f>
        <v>0</v>
      </c>
      <c r="C31" s="6">
        <f>SUMIF(Costs!$A$2:$A$200,A31,Costs!$L$2:$L$200)</f>
        <v>0</v>
      </c>
      <c r="D31" s="6">
        <f>SUMIF(Costs!$A$2:$A$200,A31,Costs!$M$2:$M$200)</f>
        <v>0</v>
      </c>
      <c r="E31" s="6">
        <f>SUMIF(Costs!$A$2:$A$200,A31,Costs!$N$2:$N$200)</f>
        <v>0</v>
      </c>
      <c r="F31" s="6">
        <f t="shared" si="1"/>
        <v>0</v>
      </c>
      <c r="G31" s="4"/>
      <c r="H31" s="6">
        <f t="shared" si="0"/>
        <v>0</v>
      </c>
      <c r="N31">
        <f>SUMIF('Data input'!$B$3:$B$202,Lists!A31,'Data input'!$K$3:$K$202)</f>
        <v>0</v>
      </c>
      <c r="O31">
        <f>N31*Lists!C31</f>
        <v>0</v>
      </c>
    </row>
    <row r="32" spans="1:17" x14ac:dyDescent="0.35">
      <c r="A32" t="str">
        <f>Lists!A32</f>
        <v>Packaging_Glass</v>
      </c>
      <c r="B32" s="6">
        <f>SUMIF(Costs!A$2:A$200,Lists!A32,Costs!G$2:G$200)</f>
        <v>0</v>
      </c>
      <c r="C32" s="6">
        <f>SUMIF(Costs!$A$2:$A$200,A32,Costs!$L$2:$L$200)</f>
        <v>0</v>
      </c>
      <c r="D32" s="6">
        <f>SUMIF(Costs!$A$2:$A$200,A32,Costs!$M$2:$M$200)</f>
        <v>0</v>
      </c>
      <c r="E32" s="6">
        <f>SUMIF(Costs!$A$2:$A$200,A32,Costs!$N$2:$N$200)</f>
        <v>0</v>
      </c>
      <c r="F32" s="6">
        <f t="shared" si="1"/>
        <v>0</v>
      </c>
      <c r="G32" s="4"/>
      <c r="H32" s="6">
        <f t="shared" si="0"/>
        <v>0</v>
      </c>
      <c r="N32">
        <f>SUMIF('Data input'!$B$3:$B$202,Lists!A32,'Data input'!$K$3:$K$202)</f>
        <v>0</v>
      </c>
      <c r="O32">
        <f>N32*Lists!C32</f>
        <v>0</v>
      </c>
    </row>
    <row r="33" spans="1:20" x14ac:dyDescent="0.35">
      <c r="A33" t="str">
        <f>Lists!A33</f>
        <v>Packaging_Textiles</v>
      </c>
      <c r="B33" s="6">
        <f>SUMIF(Costs!A$2:A$200,Lists!A33,Costs!G$2:G$200)</f>
        <v>0</v>
      </c>
      <c r="C33" s="6">
        <f>SUMIF(Costs!$A$2:$A$200,A33,Costs!$L$2:$L$200)</f>
        <v>0</v>
      </c>
      <c r="D33" s="6">
        <f>SUMIF(Costs!$A$2:$A$200,A33,Costs!$M$2:$M$200)</f>
        <v>0</v>
      </c>
      <c r="E33" s="6">
        <f>SUMIF(Costs!$A$2:$A$200,A33,Costs!$N$2:$N$200)</f>
        <v>0</v>
      </c>
      <c r="F33" s="6">
        <f t="shared" si="1"/>
        <v>0</v>
      </c>
      <c r="G33" s="4"/>
      <c r="H33" s="6">
        <f t="shared" si="0"/>
        <v>0</v>
      </c>
      <c r="N33">
        <f>SUMIF('Data input'!$B$3:$B$202,Lists!A33,'Data input'!$K$3:$K$202)</f>
        <v>0</v>
      </c>
      <c r="O33">
        <f>N33*Lists!C33</f>
        <v>0</v>
      </c>
    </row>
    <row r="34" spans="1:20" x14ac:dyDescent="0.35">
      <c r="A34" t="str">
        <f>Lists!A34</f>
        <v>Packaging_Paint_cans_Metal_Plastic</v>
      </c>
      <c r="B34" s="6">
        <f>SUMIF(Costs!A$2:A$200,Lists!A34,Costs!G$2:G$200)</f>
        <v>0</v>
      </c>
      <c r="C34" s="6">
        <f>SUMIF(Costs!$A$2:$A$200,A34,Costs!$L$2:$L$200)</f>
        <v>0</v>
      </c>
      <c r="D34" s="6">
        <f>SUMIF(Costs!$A$2:$A$200,A34,Costs!$M$2:$M$200)</f>
        <v>0</v>
      </c>
      <c r="E34" s="6">
        <f>SUMIF(Costs!$A$2:$A$200,A34,Costs!$N$2:$N$200)</f>
        <v>0</v>
      </c>
      <c r="F34" s="6">
        <f t="shared" si="1"/>
        <v>0</v>
      </c>
      <c r="G34" s="4"/>
      <c r="H34" s="6">
        <f t="shared" si="0"/>
        <v>0</v>
      </c>
      <c r="N34">
        <f>SUMIF('Data input'!$B$3:$B$202,Lists!A34,'Data input'!$K$3:$K$202)</f>
        <v>0</v>
      </c>
      <c r="O34">
        <f>N34*Lists!C34</f>
        <v>0</v>
      </c>
    </row>
    <row r="35" spans="1:20" x14ac:dyDescent="0.35">
      <c r="A35" t="str">
        <f>Lists!A35</f>
        <v>Other_Each</v>
      </c>
      <c r="B35" s="6">
        <f>SUMIF(Costs!A$2:A$200,Lists!A35,Costs!G$2:G$200)</f>
        <v>0</v>
      </c>
      <c r="C35" s="6">
        <f>SUMIF(Costs!$A$2:$A$200,A35,Costs!$L$2:$L$200)</f>
        <v>0</v>
      </c>
      <c r="D35" s="6">
        <f>SUMIF(Costs!$A$2:$A$200,A35,Costs!$M$2:$M$200)</f>
        <v>0</v>
      </c>
      <c r="E35" s="6">
        <f>SUMIF(Costs!$A$2:$A$200,A35,Costs!$N$2:$N$200)</f>
        <v>0</v>
      </c>
      <c r="F35" s="6">
        <f t="shared" si="1"/>
        <v>0</v>
      </c>
      <c r="G35" s="4"/>
      <c r="H35" s="6">
        <f t="shared" si="0"/>
        <v>0</v>
      </c>
      <c r="N35">
        <f>SUMIF('Data input'!$B$3:$B$202,Lists!A35,'Data input'!$K$3:$K$202)</f>
        <v>0</v>
      </c>
      <c r="O35">
        <f>N35*Lists!C35</f>
        <v>0</v>
      </c>
    </row>
    <row r="36" spans="1:20" x14ac:dyDescent="0.35">
      <c r="A36" t="str">
        <f>Lists!A36</f>
        <v>Other_Linear_meter</v>
      </c>
      <c r="B36" s="6">
        <f>SUMIF(Costs!A$2:A$200,Lists!A36,Costs!G$2:G$200)</f>
        <v>0</v>
      </c>
      <c r="C36" s="6">
        <f>SUMIF(Costs!$A$2:$A$200,A36,Costs!$L$2:$L$200)</f>
        <v>0</v>
      </c>
      <c r="D36" s="6">
        <f>SUMIF(Costs!$A$2:$A$200,A36,Costs!$M$2:$M$200)</f>
        <v>0</v>
      </c>
      <c r="E36" s="6">
        <f>SUMIF(Costs!$A$2:$A$200,A36,Costs!$N$2:$N$200)</f>
        <v>0</v>
      </c>
      <c r="F36" s="6">
        <f t="shared" ref="F36:F38" si="4">(B36+E36)</f>
        <v>0</v>
      </c>
      <c r="H36" s="6">
        <f t="shared" si="0"/>
        <v>0</v>
      </c>
      <c r="N36">
        <f>SUMIF('Data input'!$B$3:$B$202,Lists!A36,'Data input'!$K$3:$K$202)</f>
        <v>0</v>
      </c>
      <c r="O36">
        <f>N36*Lists!C36</f>
        <v>0</v>
      </c>
    </row>
    <row r="37" spans="1:20" x14ac:dyDescent="0.35">
      <c r="A37" t="str">
        <f>Lists!A37</f>
        <v>Other_Square_meter</v>
      </c>
      <c r="B37" s="6">
        <f>SUMIF(Costs!A$2:A$200,Lists!A37,Costs!G$2:G$200)</f>
        <v>0</v>
      </c>
      <c r="C37" s="6">
        <f>SUMIF(Costs!$A$2:$A$200,A37,Costs!$L$2:$L$200)</f>
        <v>0</v>
      </c>
      <c r="D37" s="6">
        <f>SUMIF(Costs!$A$2:$A$200,A37,Costs!$M$2:$M$200)</f>
        <v>0</v>
      </c>
      <c r="E37" s="6">
        <f>SUMIF(Costs!$A$2:$A$200,A37,Costs!$N$2:$N$200)</f>
        <v>0</v>
      </c>
      <c r="F37" s="6">
        <f t="shared" si="4"/>
        <v>0</v>
      </c>
      <c r="H37" s="6">
        <f t="shared" si="0"/>
        <v>0</v>
      </c>
      <c r="N37">
        <f>SUMIF('Data input'!$B$3:$B$202,Lists!A37,'Data input'!$K$3:$K$202)</f>
        <v>0</v>
      </c>
      <c r="O37">
        <f>N37*Lists!C37</f>
        <v>0</v>
      </c>
    </row>
    <row r="38" spans="1:20" x14ac:dyDescent="0.35">
      <c r="A38" t="str">
        <f>Lists!A38</f>
        <v>Other_Volume_cubic_meter</v>
      </c>
      <c r="B38" s="6">
        <f>SUMIF(Costs!A$2:A$200,Lists!A38,Costs!G$2:G$200)</f>
        <v>0</v>
      </c>
      <c r="C38" s="6">
        <f>SUMIF(Costs!$A$2:$A$200,A38,Costs!$L$2:$L$200)</f>
        <v>0</v>
      </c>
      <c r="D38" s="6">
        <f>SUMIF(Costs!$A$2:$A$200,A38,Costs!$M$2:$M$200)</f>
        <v>0</v>
      </c>
      <c r="E38" s="6">
        <f>SUMIF(Costs!$A$2:$A$200,A38,Costs!$N$2:$N$200)</f>
        <v>0</v>
      </c>
      <c r="F38" s="6">
        <f t="shared" si="4"/>
        <v>0</v>
      </c>
      <c r="H38" s="6">
        <f t="shared" si="0"/>
        <v>0</v>
      </c>
      <c r="N38">
        <f>SUMIF('Data input'!$B$3:$B$202,Lists!A38,'Data input'!$K$3:$K$202)</f>
        <v>0</v>
      </c>
      <c r="O38">
        <f>N38*Lists!C38</f>
        <v>0</v>
      </c>
    </row>
    <row r="39" spans="1:20" x14ac:dyDescent="0.35">
      <c r="B39" s="6">
        <f>SUM(B2:B38)</f>
        <v>0</v>
      </c>
      <c r="C39" s="6">
        <f>SUM(C2:C38)</f>
        <v>0</v>
      </c>
      <c r="D39" s="6">
        <f>SUM(D2:D38)</f>
        <v>0</v>
      </c>
      <c r="E39" s="6">
        <f>SUM(E2:E38)</f>
        <v>0</v>
      </c>
      <c r="F39" s="6">
        <f>SUM(F2:F38)</f>
        <v>0</v>
      </c>
      <c r="H39" s="6">
        <f>SUM(H2:H38)</f>
        <v>0</v>
      </c>
      <c r="N39">
        <f>SUM(N2:N38)</f>
        <v>0</v>
      </c>
      <c r="O39">
        <f>SUM(O2:O38)</f>
        <v>0</v>
      </c>
      <c r="Q39">
        <f>SUM(Q2:Q38)</f>
        <v>0</v>
      </c>
      <c r="T39">
        <f>SUM(T2:T38)</f>
        <v>0</v>
      </c>
    </row>
    <row r="40" spans="1:20" x14ac:dyDescent="0.35">
      <c r="B40" s="19"/>
      <c r="C40" s="19"/>
      <c r="D40" s="19"/>
      <c r="E40" s="19"/>
      <c r="F40" s="19"/>
      <c r="G40" s="20">
        <f>Costs!AN2</f>
        <v>0</v>
      </c>
      <c r="H40" s="18">
        <f>G40</f>
        <v>0</v>
      </c>
      <c r="I40" s="19"/>
      <c r="J40" s="19"/>
      <c r="K40" s="19"/>
      <c r="L40" s="19"/>
    </row>
    <row r="41" spans="1:20" x14ac:dyDescent="0.35">
      <c r="B41" s="6">
        <f>B39</f>
        <v>0</v>
      </c>
      <c r="C41" s="6">
        <f t="shared" ref="C41:F41" si="5">C39</f>
        <v>0</v>
      </c>
      <c r="D41" s="6">
        <f t="shared" si="5"/>
        <v>0</v>
      </c>
      <c r="E41" s="6">
        <f t="shared" si="5"/>
        <v>0</v>
      </c>
      <c r="F41" s="6">
        <f t="shared" si="5"/>
        <v>0</v>
      </c>
      <c r="H41" s="6">
        <f>SUM(H39:H40)</f>
        <v>0</v>
      </c>
      <c r="I41" s="4">
        <f>VLOOKUP('Set up'!B25,Lists!L2:O8,4)</f>
        <v>178.33333333333334</v>
      </c>
      <c r="J41" s="6">
        <f>F41+H41+I41</f>
        <v>178.33333333333334</v>
      </c>
      <c r="K41" s="4">
        <f>J41*0.2</f>
        <v>35.666666666666671</v>
      </c>
      <c r="L41" s="6">
        <f>SUM(J41:K41)</f>
        <v>214</v>
      </c>
    </row>
    <row r="78" spans="1:1" x14ac:dyDescent="0.35">
      <c r="A78" t="str">
        <f>Costs!B161</f>
        <v>Concrete: plain in situ ready mixed - C10</v>
      </c>
    </row>
    <row r="79" spans="1:1" x14ac:dyDescent="0.35">
      <c r="A79" t="str">
        <f>Costs!B162</f>
        <v>Concrete: reinforced in situ ready mixed - 25N</v>
      </c>
    </row>
    <row r="80" spans="1:1" x14ac:dyDescent="0.35">
      <c r="A80" t="str">
        <f>Costs!B163</f>
        <v>Concrete: precast - prestressed beam and block floor</v>
      </c>
    </row>
    <row r="81" spans="1:1" x14ac:dyDescent="0.35">
      <c r="A81" t="str">
        <f>Costs!B164</f>
        <v>Bricks: concrete block (no mortar)</v>
      </c>
    </row>
    <row r="82" spans="1:1" x14ac:dyDescent="0.35">
      <c r="A82" t="str">
        <f>Costs!B165</f>
        <v>Concrete bricks/blocks, tiles and ceramics in mixtures: concrete blockwork including mortar</v>
      </c>
    </row>
    <row r="83" spans="1:1" x14ac:dyDescent="0.35">
      <c r="A83" t="str">
        <f>Costs!B166</f>
        <v>Wood: hardwood lengths</v>
      </c>
    </row>
    <row r="84" spans="1:1" x14ac:dyDescent="0.35">
      <c r="A84" t="str">
        <f>Costs!B167</f>
        <v>Glass - uncontaminated: standard Casement windows</v>
      </c>
    </row>
    <row r="85" spans="1:1" x14ac:dyDescent="0.35">
      <c r="A85" t="str">
        <f>Costs!B168</f>
        <v>Aluminium: roof covering</v>
      </c>
    </row>
    <row r="86" spans="1:1" x14ac:dyDescent="0.35">
      <c r="A86" t="str">
        <f>Costs!B169</f>
        <v>Aluminium: pipe</v>
      </c>
    </row>
    <row r="87" spans="1:1" x14ac:dyDescent="0.35">
      <c r="A87" t="str">
        <f>Costs!B170</f>
        <v>Iron and steel: cast Iron pipe</v>
      </c>
    </row>
    <row r="88" spans="1:1" x14ac:dyDescent="0.35">
      <c r="A88" t="str">
        <f>Costs!B171</f>
        <v>Iron and steel: lattice beam</v>
      </c>
    </row>
    <row r="89" spans="1:1" x14ac:dyDescent="0.35">
      <c r="A89" t="str">
        <f>Costs!B172</f>
        <v>Lead: sheet covering/flashing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02"/>
  <sheetViews>
    <sheetView topLeftCell="E1" workbookViewId="0">
      <pane ySplit="2" topLeftCell="A3" activePane="bottomLeft" state="frozen"/>
      <selection pane="bottomLeft" activeCell="G6" sqref="G6"/>
    </sheetView>
  </sheetViews>
  <sheetFormatPr defaultRowHeight="14.5" x14ac:dyDescent="0.35"/>
  <cols>
    <col min="1" max="1" width="5" style="2" customWidth="1"/>
    <col min="2" max="2" width="54.7265625" style="2" customWidth="1"/>
    <col min="3" max="3" width="9.1796875" style="2" customWidth="1"/>
    <col min="4" max="4" width="68" style="2" customWidth="1"/>
    <col min="5" max="5" width="17.81640625" style="2" customWidth="1"/>
    <col min="6" max="6" width="25.81640625" style="2" customWidth="1"/>
    <col min="7" max="7" width="10.453125" style="2" customWidth="1"/>
    <col min="8" max="8" width="7" style="2" bestFit="1" customWidth="1"/>
    <col min="9" max="9" width="6.54296875" style="2" bestFit="1" customWidth="1"/>
    <col min="10" max="10" width="9.54296875" style="2" bestFit="1" customWidth="1"/>
    <col min="11" max="11" width="10.453125" style="2" customWidth="1"/>
    <col min="12" max="12" width="17" style="2" customWidth="1"/>
    <col min="13" max="14" width="11.7265625" style="2" customWidth="1"/>
  </cols>
  <sheetData>
    <row r="1" spans="1:14" ht="87" x14ac:dyDescent="0.35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48" t="s">
        <v>29</v>
      </c>
      <c r="H1" s="48" t="s">
        <v>30</v>
      </c>
      <c r="I1" s="48" t="s">
        <v>31</v>
      </c>
      <c r="J1" s="48" t="s">
        <v>32</v>
      </c>
      <c r="K1" s="48" t="s">
        <v>33</v>
      </c>
      <c r="L1" s="48" t="s">
        <v>34</v>
      </c>
      <c r="M1" s="48" t="s">
        <v>35</v>
      </c>
      <c r="N1" s="48" t="s">
        <v>36</v>
      </c>
    </row>
    <row r="2" spans="1:14" ht="29.5" thickBot="1" x14ac:dyDescent="0.4">
      <c r="A2" s="47"/>
      <c r="B2" s="46" t="s">
        <v>37</v>
      </c>
      <c r="C2" s="47"/>
      <c r="D2" s="46" t="s">
        <v>37</v>
      </c>
      <c r="E2" s="47"/>
      <c r="F2" s="46" t="s">
        <v>37</v>
      </c>
      <c r="G2" s="47"/>
      <c r="H2" s="47"/>
      <c r="I2" s="47"/>
      <c r="J2" s="47"/>
      <c r="K2" s="31">
        <f>SUM(K3:K202)</f>
        <v>0</v>
      </c>
      <c r="L2" s="46" t="s">
        <v>37</v>
      </c>
      <c r="M2" s="46" t="s">
        <v>38</v>
      </c>
      <c r="N2" s="46" t="s">
        <v>38</v>
      </c>
    </row>
    <row r="3" spans="1:14" ht="15" thickTop="1" x14ac:dyDescent="0.35">
      <c r="A3" s="49">
        <v>1</v>
      </c>
      <c r="B3" s="121"/>
      <c r="C3" s="51" t="str">
        <f>IF(ISNA(VLOOKUP(B3,Lists!A$2:B$38,2,FALSE)),"",VLOOKUP(B3,Lists!A$2:B$38,2,FALSE))</f>
        <v/>
      </c>
      <c r="D3" s="121"/>
      <c r="E3" s="123"/>
      <c r="F3" s="121"/>
      <c r="G3" s="123"/>
      <c r="H3" s="123"/>
      <c r="I3" s="123"/>
      <c r="J3" s="123"/>
      <c r="K3" s="53">
        <f>G3*(H3/1000)*(I3/1000)*(J3/1000)</f>
        <v>0</v>
      </c>
      <c r="L3" s="121"/>
      <c r="M3" s="121"/>
      <c r="N3" s="121"/>
    </row>
    <row r="4" spans="1:14" x14ac:dyDescent="0.35">
      <c r="A4" s="50">
        <v>2</v>
      </c>
      <c r="B4" s="122"/>
      <c r="C4" s="51" t="str">
        <f>IF(ISNA(VLOOKUP(B4,Lists!A$2:B$38,2,FALSE)),"",VLOOKUP(B4,Lists!A$2:B$38,2,FALSE))</f>
        <v/>
      </c>
      <c r="D4" s="122"/>
      <c r="E4" s="124"/>
      <c r="F4" s="122"/>
      <c r="G4" s="124"/>
      <c r="H4" s="124"/>
      <c r="I4" s="124"/>
      <c r="J4" s="124"/>
      <c r="K4" s="52">
        <f t="shared" ref="K4:K67" si="0">G4*(H4/1000)*(I4/1000)*(J4/1000)</f>
        <v>0</v>
      </c>
      <c r="L4" s="122"/>
      <c r="M4" s="122"/>
      <c r="N4" s="122"/>
    </row>
    <row r="5" spans="1:14" x14ac:dyDescent="0.35">
      <c r="A5" s="50">
        <v>3</v>
      </c>
      <c r="B5" s="122"/>
      <c r="C5" s="51" t="str">
        <f>IF(ISNA(VLOOKUP(B5,Lists!A$2:B$38,2,FALSE)),"",VLOOKUP(B5,Lists!A$2:B$38,2,FALSE))</f>
        <v/>
      </c>
      <c r="D5" s="122"/>
      <c r="E5" s="124"/>
      <c r="F5" s="122"/>
      <c r="G5" s="124"/>
      <c r="H5" s="124"/>
      <c r="I5" s="124"/>
      <c r="J5" s="124"/>
      <c r="K5" s="52">
        <f t="shared" si="0"/>
        <v>0</v>
      </c>
      <c r="L5" s="122"/>
      <c r="M5" s="122"/>
      <c r="N5" s="122"/>
    </row>
    <row r="6" spans="1:14" x14ac:dyDescent="0.35">
      <c r="A6" s="50">
        <v>4</v>
      </c>
      <c r="B6" s="122"/>
      <c r="C6" s="51" t="str">
        <f>IF(ISNA(VLOOKUP(B6,Lists!A$2:B$38,2,FALSE)),"",VLOOKUP(B6,Lists!A$2:B$38,2,FALSE))</f>
        <v/>
      </c>
      <c r="D6" s="122"/>
      <c r="E6" s="124"/>
      <c r="F6" s="122"/>
      <c r="G6" s="124"/>
      <c r="H6" s="124"/>
      <c r="I6" s="124"/>
      <c r="J6" s="124"/>
      <c r="K6" s="52">
        <f t="shared" si="0"/>
        <v>0</v>
      </c>
      <c r="L6" s="122"/>
      <c r="M6" s="122"/>
      <c r="N6" s="122"/>
    </row>
    <row r="7" spans="1:14" x14ac:dyDescent="0.35">
      <c r="A7" s="50">
        <v>5</v>
      </c>
      <c r="B7" s="122"/>
      <c r="C7" s="51" t="str">
        <f>IF(ISNA(VLOOKUP(B7,Lists!A$2:B$38,2,FALSE)),"",VLOOKUP(B7,Lists!A$2:B$38,2,FALSE))</f>
        <v/>
      </c>
      <c r="D7" s="122"/>
      <c r="E7" s="124"/>
      <c r="F7" s="122"/>
      <c r="G7" s="124"/>
      <c r="H7" s="124"/>
      <c r="I7" s="124"/>
      <c r="J7" s="124"/>
      <c r="K7" s="52">
        <f t="shared" si="0"/>
        <v>0</v>
      </c>
      <c r="L7" s="122"/>
      <c r="M7" s="122"/>
      <c r="N7" s="122"/>
    </row>
    <row r="8" spans="1:14" x14ac:dyDescent="0.35">
      <c r="A8" s="50">
        <v>6</v>
      </c>
      <c r="B8" s="122"/>
      <c r="C8" s="51" t="str">
        <f>IF(ISNA(VLOOKUP(B8,Lists!A$2:B$38,2,FALSE)),"",VLOOKUP(B8,Lists!A$2:B$38,2,FALSE))</f>
        <v/>
      </c>
      <c r="D8" s="122"/>
      <c r="E8" s="124"/>
      <c r="F8" s="122"/>
      <c r="G8" s="124"/>
      <c r="H8" s="124"/>
      <c r="I8" s="124"/>
      <c r="J8" s="124"/>
      <c r="K8" s="52">
        <f t="shared" si="0"/>
        <v>0</v>
      </c>
      <c r="L8" s="122"/>
      <c r="M8" s="122"/>
      <c r="N8" s="122"/>
    </row>
    <row r="9" spans="1:14" x14ac:dyDescent="0.35">
      <c r="A9" s="50">
        <v>7</v>
      </c>
      <c r="B9" s="122"/>
      <c r="C9" s="51" t="str">
        <f>IF(ISNA(VLOOKUP(B9,Lists!A$2:B$38,2,FALSE)),"",VLOOKUP(B9,Lists!A$2:B$38,2,FALSE))</f>
        <v/>
      </c>
      <c r="D9" s="122"/>
      <c r="E9" s="124"/>
      <c r="F9" s="122"/>
      <c r="G9" s="124"/>
      <c r="H9" s="124"/>
      <c r="I9" s="124"/>
      <c r="J9" s="124"/>
      <c r="K9" s="52">
        <f t="shared" si="0"/>
        <v>0</v>
      </c>
      <c r="L9" s="122"/>
      <c r="M9" s="122"/>
      <c r="N9" s="122"/>
    </row>
    <row r="10" spans="1:14" x14ac:dyDescent="0.35">
      <c r="A10" s="50">
        <v>8</v>
      </c>
      <c r="B10" s="122"/>
      <c r="C10" s="51" t="str">
        <f>IF(ISNA(VLOOKUP(B10,Lists!A$2:B$38,2,FALSE)),"",VLOOKUP(B10,Lists!A$2:B$38,2,FALSE))</f>
        <v/>
      </c>
      <c r="D10" s="122"/>
      <c r="E10" s="124"/>
      <c r="F10" s="122"/>
      <c r="G10" s="124"/>
      <c r="H10" s="124"/>
      <c r="I10" s="124"/>
      <c r="J10" s="124"/>
      <c r="K10" s="52">
        <f t="shared" si="0"/>
        <v>0</v>
      </c>
      <c r="L10" s="122"/>
      <c r="M10" s="122"/>
      <c r="N10" s="122"/>
    </row>
    <row r="11" spans="1:14" x14ac:dyDescent="0.35">
      <c r="A11" s="50">
        <v>9</v>
      </c>
      <c r="B11" s="122"/>
      <c r="C11" s="51" t="str">
        <f>IF(ISNA(VLOOKUP(B11,Lists!A$2:B$38,2,FALSE)),"",VLOOKUP(B11,Lists!A$2:B$38,2,FALSE))</f>
        <v/>
      </c>
      <c r="D11" s="122"/>
      <c r="E11" s="124"/>
      <c r="F11" s="122"/>
      <c r="G11" s="124"/>
      <c r="H11" s="124"/>
      <c r="I11" s="124"/>
      <c r="J11" s="124"/>
      <c r="K11" s="52">
        <f t="shared" si="0"/>
        <v>0</v>
      </c>
      <c r="L11" s="122"/>
      <c r="M11" s="122"/>
      <c r="N11" s="122"/>
    </row>
    <row r="12" spans="1:14" x14ac:dyDescent="0.35">
      <c r="A12" s="50">
        <v>10</v>
      </c>
      <c r="B12" s="122"/>
      <c r="C12" s="51" t="str">
        <f>IF(ISNA(VLOOKUP(B12,Lists!A$2:B$38,2,FALSE)),"",VLOOKUP(B12,Lists!A$2:B$38,2,FALSE))</f>
        <v/>
      </c>
      <c r="D12" s="122"/>
      <c r="E12" s="124"/>
      <c r="F12" s="122"/>
      <c r="G12" s="124"/>
      <c r="H12" s="124"/>
      <c r="I12" s="124"/>
      <c r="J12" s="124"/>
      <c r="K12" s="52">
        <f t="shared" si="0"/>
        <v>0</v>
      </c>
      <c r="L12" s="122"/>
      <c r="M12" s="122"/>
      <c r="N12" s="122"/>
    </row>
    <row r="13" spans="1:14" x14ac:dyDescent="0.35">
      <c r="A13" s="50">
        <v>11</v>
      </c>
      <c r="B13" s="122"/>
      <c r="C13" s="51" t="str">
        <f>IF(ISNA(VLOOKUP(B13,Lists!A$2:B$38,2,FALSE)),"",VLOOKUP(B13,Lists!A$2:B$38,2,FALSE))</f>
        <v/>
      </c>
      <c r="D13" s="122"/>
      <c r="E13" s="124"/>
      <c r="F13" s="122"/>
      <c r="G13" s="124"/>
      <c r="H13" s="124"/>
      <c r="I13" s="124"/>
      <c r="J13" s="124"/>
      <c r="K13" s="52">
        <f t="shared" si="0"/>
        <v>0</v>
      </c>
      <c r="L13" s="122"/>
      <c r="M13" s="122"/>
      <c r="N13" s="122"/>
    </row>
    <row r="14" spans="1:14" x14ac:dyDescent="0.35">
      <c r="A14" s="50">
        <v>12</v>
      </c>
      <c r="B14" s="122"/>
      <c r="C14" s="51" t="str">
        <f>IF(ISNA(VLOOKUP(B14,Lists!A$2:B$38,2,FALSE)),"",VLOOKUP(B14,Lists!A$2:B$38,2,FALSE))</f>
        <v/>
      </c>
      <c r="D14" s="122"/>
      <c r="E14" s="124"/>
      <c r="F14" s="122"/>
      <c r="G14" s="124"/>
      <c r="H14" s="124"/>
      <c r="I14" s="124"/>
      <c r="J14" s="124"/>
      <c r="K14" s="52">
        <f t="shared" si="0"/>
        <v>0</v>
      </c>
      <c r="L14" s="122"/>
      <c r="M14" s="122"/>
      <c r="N14" s="122"/>
    </row>
    <row r="15" spans="1:14" x14ac:dyDescent="0.35">
      <c r="A15" s="50">
        <v>13</v>
      </c>
      <c r="B15" s="122"/>
      <c r="C15" s="51" t="str">
        <f>IF(ISNA(VLOOKUP(B15,Lists!A$2:B$38,2,FALSE)),"",VLOOKUP(B15,Lists!A$2:B$38,2,FALSE))</f>
        <v/>
      </c>
      <c r="D15" s="122"/>
      <c r="E15" s="124"/>
      <c r="F15" s="122"/>
      <c r="G15" s="124"/>
      <c r="H15" s="124"/>
      <c r="I15" s="124"/>
      <c r="J15" s="124"/>
      <c r="K15" s="52">
        <f t="shared" si="0"/>
        <v>0</v>
      </c>
      <c r="L15" s="122"/>
      <c r="M15" s="122"/>
      <c r="N15" s="122"/>
    </row>
    <row r="16" spans="1:14" x14ac:dyDescent="0.35">
      <c r="A16" s="50">
        <v>14</v>
      </c>
      <c r="B16" s="122"/>
      <c r="C16" s="51" t="str">
        <f>IF(ISNA(VLOOKUP(B16,Lists!A$2:B$38,2,FALSE)),"",VLOOKUP(B16,Lists!A$2:B$38,2,FALSE))</f>
        <v/>
      </c>
      <c r="D16" s="122"/>
      <c r="E16" s="124"/>
      <c r="F16" s="122"/>
      <c r="G16" s="124"/>
      <c r="H16" s="124"/>
      <c r="I16" s="124"/>
      <c r="J16" s="124"/>
      <c r="K16" s="52">
        <f t="shared" si="0"/>
        <v>0</v>
      </c>
      <c r="L16" s="122"/>
      <c r="M16" s="122"/>
      <c r="N16" s="122"/>
    </row>
    <row r="17" spans="1:14" x14ac:dyDescent="0.35">
      <c r="A17" s="50">
        <v>15</v>
      </c>
      <c r="B17" s="122"/>
      <c r="C17" s="51" t="str">
        <f>IF(ISNA(VLOOKUP(B17,Lists!A$2:B$38,2,FALSE)),"",VLOOKUP(B17,Lists!A$2:B$38,2,FALSE))</f>
        <v/>
      </c>
      <c r="D17" s="122"/>
      <c r="E17" s="124"/>
      <c r="F17" s="122"/>
      <c r="G17" s="124"/>
      <c r="H17" s="124"/>
      <c r="I17" s="124"/>
      <c r="J17" s="124"/>
      <c r="K17" s="52">
        <f t="shared" si="0"/>
        <v>0</v>
      </c>
      <c r="L17" s="122"/>
      <c r="M17" s="122"/>
      <c r="N17" s="122"/>
    </row>
    <row r="18" spans="1:14" x14ac:dyDescent="0.35">
      <c r="A18" s="50">
        <v>16</v>
      </c>
      <c r="B18" s="122"/>
      <c r="C18" s="51" t="str">
        <f>IF(ISNA(VLOOKUP(B18,Lists!A$2:B$38,2,FALSE)),"",VLOOKUP(B18,Lists!A$2:B$38,2,FALSE))</f>
        <v/>
      </c>
      <c r="D18" s="122"/>
      <c r="E18" s="124"/>
      <c r="F18" s="122"/>
      <c r="G18" s="124"/>
      <c r="H18" s="124"/>
      <c r="I18" s="124"/>
      <c r="J18" s="124"/>
      <c r="K18" s="52">
        <f t="shared" si="0"/>
        <v>0</v>
      </c>
      <c r="L18" s="122"/>
      <c r="M18" s="122"/>
      <c r="N18" s="122"/>
    </row>
    <row r="19" spans="1:14" x14ac:dyDescent="0.35">
      <c r="A19" s="50">
        <v>17</v>
      </c>
      <c r="B19" s="122"/>
      <c r="C19" s="51" t="str">
        <f>IF(ISNA(VLOOKUP(B19,Lists!A$2:B$38,2,FALSE)),"",VLOOKUP(B19,Lists!A$2:B$38,2,FALSE))</f>
        <v/>
      </c>
      <c r="D19" s="122"/>
      <c r="E19" s="124"/>
      <c r="F19" s="122"/>
      <c r="G19" s="124"/>
      <c r="H19" s="124"/>
      <c r="I19" s="124"/>
      <c r="J19" s="124"/>
      <c r="K19" s="52">
        <f t="shared" si="0"/>
        <v>0</v>
      </c>
      <c r="L19" s="122"/>
      <c r="M19" s="122"/>
      <c r="N19" s="122"/>
    </row>
    <row r="20" spans="1:14" x14ac:dyDescent="0.35">
      <c r="A20" s="50">
        <v>18</v>
      </c>
      <c r="B20" s="122"/>
      <c r="C20" s="51" t="str">
        <f>IF(ISNA(VLOOKUP(B20,Lists!A$2:B$38,2,FALSE)),"",VLOOKUP(B20,Lists!A$2:B$38,2,FALSE))</f>
        <v/>
      </c>
      <c r="D20" s="122"/>
      <c r="E20" s="124"/>
      <c r="F20" s="122"/>
      <c r="G20" s="124"/>
      <c r="H20" s="124"/>
      <c r="I20" s="124"/>
      <c r="J20" s="124"/>
      <c r="K20" s="52">
        <f t="shared" si="0"/>
        <v>0</v>
      </c>
      <c r="L20" s="122"/>
      <c r="M20" s="122"/>
      <c r="N20" s="122"/>
    </row>
    <row r="21" spans="1:14" x14ac:dyDescent="0.35">
      <c r="A21" s="50">
        <v>19</v>
      </c>
      <c r="B21" s="122"/>
      <c r="C21" s="51" t="str">
        <f>IF(ISNA(VLOOKUP(B21,Lists!A$2:B$38,2,FALSE)),"",VLOOKUP(B21,Lists!A$2:B$38,2,FALSE))</f>
        <v/>
      </c>
      <c r="D21" s="122"/>
      <c r="E21" s="124"/>
      <c r="F21" s="122"/>
      <c r="G21" s="124"/>
      <c r="H21" s="124"/>
      <c r="I21" s="124"/>
      <c r="J21" s="124"/>
      <c r="K21" s="52">
        <f t="shared" si="0"/>
        <v>0</v>
      </c>
      <c r="L21" s="122"/>
      <c r="M21" s="122"/>
      <c r="N21" s="122"/>
    </row>
    <row r="22" spans="1:14" x14ac:dyDescent="0.35">
      <c r="A22" s="50">
        <v>20</v>
      </c>
      <c r="B22" s="122"/>
      <c r="C22" s="51" t="str">
        <f>IF(ISNA(VLOOKUP(B22,Lists!A$2:B$38,2,FALSE)),"",VLOOKUP(B22,Lists!A$2:B$38,2,FALSE))</f>
        <v/>
      </c>
      <c r="D22" s="122"/>
      <c r="E22" s="124"/>
      <c r="F22" s="122"/>
      <c r="G22" s="124"/>
      <c r="H22" s="124"/>
      <c r="I22" s="124"/>
      <c r="J22" s="124"/>
      <c r="K22" s="52">
        <f t="shared" si="0"/>
        <v>0</v>
      </c>
      <c r="L22" s="122"/>
      <c r="M22" s="122"/>
      <c r="N22" s="122"/>
    </row>
    <row r="23" spans="1:14" x14ac:dyDescent="0.35">
      <c r="A23" s="50">
        <v>21</v>
      </c>
      <c r="B23" s="122"/>
      <c r="C23" s="51" t="str">
        <f>IF(ISNA(VLOOKUP(B23,Lists!A$2:B$38,2,FALSE)),"",VLOOKUP(B23,Lists!A$2:B$38,2,FALSE))</f>
        <v/>
      </c>
      <c r="D23" s="122"/>
      <c r="E23" s="124"/>
      <c r="F23" s="122"/>
      <c r="G23" s="124"/>
      <c r="H23" s="124"/>
      <c r="I23" s="124"/>
      <c r="J23" s="124"/>
      <c r="K23" s="52">
        <f t="shared" si="0"/>
        <v>0</v>
      </c>
      <c r="L23" s="122"/>
      <c r="M23" s="122"/>
      <c r="N23" s="122"/>
    </row>
    <row r="24" spans="1:14" x14ac:dyDescent="0.35">
      <c r="A24" s="50">
        <v>22</v>
      </c>
      <c r="B24" s="122"/>
      <c r="C24" s="51" t="str">
        <f>IF(ISNA(VLOOKUP(B24,Lists!A$2:B$38,2,FALSE)),"",VLOOKUP(B24,Lists!A$2:B$38,2,FALSE))</f>
        <v/>
      </c>
      <c r="D24" s="122"/>
      <c r="E24" s="124"/>
      <c r="F24" s="122"/>
      <c r="G24" s="124"/>
      <c r="H24" s="124"/>
      <c r="I24" s="124"/>
      <c r="J24" s="124"/>
      <c r="K24" s="52">
        <f t="shared" si="0"/>
        <v>0</v>
      </c>
      <c r="L24" s="122"/>
      <c r="M24" s="122"/>
      <c r="N24" s="122"/>
    </row>
    <row r="25" spans="1:14" x14ac:dyDescent="0.35">
      <c r="A25" s="50">
        <v>23</v>
      </c>
      <c r="B25" s="122"/>
      <c r="C25" s="51" t="str">
        <f>IF(ISNA(VLOOKUP(B25,Lists!A$2:B$38,2,FALSE)),"",VLOOKUP(B25,Lists!A$2:B$38,2,FALSE))</f>
        <v/>
      </c>
      <c r="D25" s="122"/>
      <c r="E25" s="124"/>
      <c r="F25" s="122"/>
      <c r="G25" s="124"/>
      <c r="H25" s="124"/>
      <c r="I25" s="124"/>
      <c r="J25" s="124"/>
      <c r="K25" s="52">
        <f t="shared" si="0"/>
        <v>0</v>
      </c>
      <c r="L25" s="122"/>
      <c r="M25" s="122"/>
      <c r="N25" s="122"/>
    </row>
    <row r="26" spans="1:14" x14ac:dyDescent="0.35">
      <c r="A26" s="50">
        <v>24</v>
      </c>
      <c r="B26" s="122"/>
      <c r="C26" s="51" t="str">
        <f>IF(ISNA(VLOOKUP(B26,Lists!A$2:B$38,2,FALSE)),"",VLOOKUP(B26,Lists!A$2:B$38,2,FALSE))</f>
        <v/>
      </c>
      <c r="D26" s="122"/>
      <c r="E26" s="124"/>
      <c r="F26" s="122"/>
      <c r="G26" s="124"/>
      <c r="H26" s="124"/>
      <c r="I26" s="124"/>
      <c r="J26" s="124"/>
      <c r="K26" s="52">
        <f t="shared" si="0"/>
        <v>0</v>
      </c>
      <c r="L26" s="122"/>
      <c r="M26" s="122"/>
      <c r="N26" s="122"/>
    </row>
    <row r="27" spans="1:14" x14ac:dyDescent="0.35">
      <c r="A27" s="50">
        <v>25</v>
      </c>
      <c r="B27" s="122"/>
      <c r="C27" s="51" t="str">
        <f>IF(ISNA(VLOOKUP(B27,Lists!A$2:B$38,2,FALSE)),"",VLOOKUP(B27,Lists!A$2:B$38,2,FALSE))</f>
        <v/>
      </c>
      <c r="D27" s="122"/>
      <c r="E27" s="124"/>
      <c r="F27" s="122"/>
      <c r="G27" s="124"/>
      <c r="H27" s="124"/>
      <c r="I27" s="124"/>
      <c r="J27" s="124"/>
      <c r="K27" s="52">
        <f t="shared" si="0"/>
        <v>0</v>
      </c>
      <c r="L27" s="122"/>
      <c r="M27" s="122"/>
      <c r="N27" s="122"/>
    </row>
    <row r="28" spans="1:14" x14ac:dyDescent="0.35">
      <c r="A28" s="50">
        <v>26</v>
      </c>
      <c r="B28" s="122"/>
      <c r="C28" s="51" t="str">
        <f>IF(ISNA(VLOOKUP(B28,Lists!A$2:B$38,2,FALSE)),"",VLOOKUP(B28,Lists!A$2:B$38,2,FALSE))</f>
        <v/>
      </c>
      <c r="D28" s="122"/>
      <c r="E28" s="124"/>
      <c r="F28" s="122"/>
      <c r="G28" s="124"/>
      <c r="H28" s="124"/>
      <c r="I28" s="124"/>
      <c r="J28" s="124"/>
      <c r="K28" s="52">
        <f t="shared" si="0"/>
        <v>0</v>
      </c>
      <c r="L28" s="122"/>
      <c r="M28" s="122"/>
      <c r="N28" s="122"/>
    </row>
    <row r="29" spans="1:14" x14ac:dyDescent="0.35">
      <c r="A29" s="50">
        <v>27</v>
      </c>
      <c r="B29" s="122"/>
      <c r="C29" s="51" t="str">
        <f>IF(ISNA(VLOOKUP(B29,Lists!A$2:B$38,2,FALSE)),"",VLOOKUP(B29,Lists!A$2:B$38,2,FALSE))</f>
        <v/>
      </c>
      <c r="D29" s="122"/>
      <c r="E29" s="124"/>
      <c r="F29" s="122"/>
      <c r="G29" s="124"/>
      <c r="H29" s="124"/>
      <c r="I29" s="124"/>
      <c r="J29" s="124"/>
      <c r="K29" s="52">
        <f t="shared" si="0"/>
        <v>0</v>
      </c>
      <c r="L29" s="122"/>
      <c r="M29" s="122"/>
      <c r="N29" s="122"/>
    </row>
    <row r="30" spans="1:14" x14ac:dyDescent="0.35">
      <c r="A30" s="50">
        <v>28</v>
      </c>
      <c r="B30" s="122"/>
      <c r="C30" s="51" t="str">
        <f>IF(ISNA(VLOOKUP(B30,Lists!A$2:B$38,2,FALSE)),"",VLOOKUP(B30,Lists!A$2:B$38,2,FALSE))</f>
        <v/>
      </c>
      <c r="D30" s="122"/>
      <c r="E30" s="124"/>
      <c r="F30" s="122"/>
      <c r="G30" s="124"/>
      <c r="H30" s="124"/>
      <c r="I30" s="124"/>
      <c r="J30" s="124"/>
      <c r="K30" s="52">
        <f t="shared" si="0"/>
        <v>0</v>
      </c>
      <c r="L30" s="122"/>
      <c r="M30" s="122"/>
      <c r="N30" s="122"/>
    </row>
    <row r="31" spans="1:14" x14ac:dyDescent="0.35">
      <c r="A31" s="50">
        <v>29</v>
      </c>
      <c r="B31" s="122"/>
      <c r="C31" s="51" t="str">
        <f>IF(ISNA(VLOOKUP(B31,Lists!A$2:B$38,2,FALSE)),"",VLOOKUP(B31,Lists!A$2:B$38,2,FALSE))</f>
        <v/>
      </c>
      <c r="D31" s="122"/>
      <c r="E31" s="124"/>
      <c r="F31" s="122"/>
      <c r="G31" s="124"/>
      <c r="H31" s="124"/>
      <c r="I31" s="124"/>
      <c r="J31" s="124"/>
      <c r="K31" s="52">
        <f t="shared" si="0"/>
        <v>0</v>
      </c>
      <c r="L31" s="122"/>
      <c r="M31" s="122"/>
      <c r="N31" s="122"/>
    </row>
    <row r="32" spans="1:14" x14ac:dyDescent="0.35">
      <c r="A32" s="50">
        <v>30</v>
      </c>
      <c r="B32" s="122"/>
      <c r="C32" s="51" t="str">
        <f>IF(ISNA(VLOOKUP(B32,Lists!A$2:B$38,2,FALSE)),"",VLOOKUP(B32,Lists!A$2:B$38,2,FALSE))</f>
        <v/>
      </c>
      <c r="D32" s="122"/>
      <c r="E32" s="124"/>
      <c r="F32" s="122"/>
      <c r="G32" s="124"/>
      <c r="H32" s="124"/>
      <c r="I32" s="124"/>
      <c r="J32" s="124"/>
      <c r="K32" s="52">
        <f t="shared" si="0"/>
        <v>0</v>
      </c>
      <c r="L32" s="122"/>
      <c r="M32" s="122"/>
      <c r="N32" s="122"/>
    </row>
    <row r="33" spans="1:14" x14ac:dyDescent="0.35">
      <c r="A33" s="50">
        <v>31</v>
      </c>
      <c r="B33" s="122"/>
      <c r="C33" s="51" t="str">
        <f>IF(ISNA(VLOOKUP(B33,Lists!A$2:B$38,2,FALSE)),"",VLOOKUP(B33,Lists!A$2:B$38,2,FALSE))</f>
        <v/>
      </c>
      <c r="D33" s="122"/>
      <c r="E33" s="124"/>
      <c r="F33" s="122"/>
      <c r="G33" s="124"/>
      <c r="H33" s="124"/>
      <c r="I33" s="124"/>
      <c r="J33" s="124"/>
      <c r="K33" s="52">
        <f t="shared" si="0"/>
        <v>0</v>
      </c>
      <c r="L33" s="122"/>
      <c r="M33" s="122"/>
      <c r="N33" s="122"/>
    </row>
    <row r="34" spans="1:14" x14ac:dyDescent="0.35">
      <c r="A34" s="50">
        <v>32</v>
      </c>
      <c r="B34" s="122"/>
      <c r="C34" s="51" t="str">
        <f>IF(ISNA(VLOOKUP(B34,Lists!A$2:B$38,2,FALSE)),"",VLOOKUP(B34,Lists!A$2:B$38,2,FALSE))</f>
        <v/>
      </c>
      <c r="D34" s="122"/>
      <c r="E34" s="124"/>
      <c r="F34" s="122"/>
      <c r="G34" s="124"/>
      <c r="H34" s="124"/>
      <c r="I34" s="124"/>
      <c r="J34" s="124"/>
      <c r="K34" s="52">
        <f t="shared" si="0"/>
        <v>0</v>
      </c>
      <c r="L34" s="122"/>
      <c r="M34" s="122"/>
      <c r="N34" s="122"/>
    </row>
    <row r="35" spans="1:14" x14ac:dyDescent="0.35">
      <c r="A35" s="50">
        <v>33</v>
      </c>
      <c r="B35" s="122"/>
      <c r="C35" s="51" t="str">
        <f>IF(ISNA(VLOOKUP(B35,Lists!A$2:B$38,2,FALSE)),"",VLOOKUP(B35,Lists!A$2:B$38,2,FALSE))</f>
        <v/>
      </c>
      <c r="D35" s="122"/>
      <c r="E35" s="124"/>
      <c r="F35" s="122"/>
      <c r="G35" s="124"/>
      <c r="H35" s="124"/>
      <c r="I35" s="124"/>
      <c r="J35" s="124"/>
      <c r="K35" s="52">
        <f t="shared" si="0"/>
        <v>0</v>
      </c>
      <c r="L35" s="122"/>
      <c r="M35" s="122"/>
      <c r="N35" s="122"/>
    </row>
    <row r="36" spans="1:14" x14ac:dyDescent="0.35">
      <c r="A36" s="50">
        <v>34</v>
      </c>
      <c r="B36" s="122"/>
      <c r="C36" s="51" t="str">
        <f>IF(ISNA(VLOOKUP(B36,Lists!A$2:B$38,2,FALSE)),"",VLOOKUP(B36,Lists!A$2:B$38,2,FALSE))</f>
        <v/>
      </c>
      <c r="D36" s="122"/>
      <c r="E36" s="124"/>
      <c r="F36" s="122"/>
      <c r="G36" s="124"/>
      <c r="H36" s="124"/>
      <c r="I36" s="124"/>
      <c r="J36" s="124"/>
      <c r="K36" s="52">
        <f t="shared" si="0"/>
        <v>0</v>
      </c>
      <c r="L36" s="122"/>
      <c r="M36" s="122"/>
      <c r="N36" s="122"/>
    </row>
    <row r="37" spans="1:14" x14ac:dyDescent="0.35">
      <c r="A37" s="50">
        <v>35</v>
      </c>
      <c r="B37" s="122"/>
      <c r="C37" s="51" t="str">
        <f>IF(ISNA(VLOOKUP(B37,Lists!A$2:B$38,2,FALSE)),"",VLOOKUP(B37,Lists!A$2:B$38,2,FALSE))</f>
        <v/>
      </c>
      <c r="D37" s="122"/>
      <c r="E37" s="124"/>
      <c r="F37" s="122"/>
      <c r="G37" s="124"/>
      <c r="H37" s="124"/>
      <c r="I37" s="124"/>
      <c r="J37" s="124"/>
      <c r="K37" s="52">
        <f t="shared" si="0"/>
        <v>0</v>
      </c>
      <c r="L37" s="122"/>
      <c r="M37" s="122"/>
      <c r="N37" s="122"/>
    </row>
    <row r="38" spans="1:14" x14ac:dyDescent="0.35">
      <c r="A38" s="50">
        <v>36</v>
      </c>
      <c r="B38" s="122"/>
      <c r="C38" s="51" t="str">
        <f>IF(ISNA(VLOOKUP(B38,Lists!A$2:B$38,2,FALSE)),"",VLOOKUP(B38,Lists!A$2:B$38,2,FALSE))</f>
        <v/>
      </c>
      <c r="D38" s="122"/>
      <c r="E38" s="124"/>
      <c r="F38" s="122"/>
      <c r="G38" s="124"/>
      <c r="H38" s="124"/>
      <c r="I38" s="124"/>
      <c r="J38" s="124"/>
      <c r="K38" s="52">
        <f t="shared" si="0"/>
        <v>0</v>
      </c>
      <c r="L38" s="122"/>
      <c r="M38" s="122"/>
      <c r="N38" s="122"/>
    </row>
    <row r="39" spans="1:14" x14ac:dyDescent="0.35">
      <c r="A39" s="50">
        <v>37</v>
      </c>
      <c r="B39" s="122"/>
      <c r="C39" s="51" t="str">
        <f>IF(ISNA(VLOOKUP(B39,Lists!A$2:B$38,2,FALSE)),"",VLOOKUP(B39,Lists!A$2:B$38,2,FALSE))</f>
        <v/>
      </c>
      <c r="D39" s="122"/>
      <c r="E39" s="124"/>
      <c r="F39" s="122"/>
      <c r="G39" s="124"/>
      <c r="H39" s="124"/>
      <c r="I39" s="124"/>
      <c r="J39" s="124"/>
      <c r="K39" s="52">
        <f t="shared" si="0"/>
        <v>0</v>
      </c>
      <c r="L39" s="122"/>
      <c r="M39" s="122"/>
      <c r="N39" s="122"/>
    </row>
    <row r="40" spans="1:14" x14ac:dyDescent="0.35">
      <c r="A40" s="50">
        <v>38</v>
      </c>
      <c r="B40" s="122"/>
      <c r="C40" s="51" t="str">
        <f>IF(ISNA(VLOOKUP(B40,Lists!A$2:B$38,2,FALSE)),"",VLOOKUP(B40,Lists!A$2:B$38,2,FALSE))</f>
        <v/>
      </c>
      <c r="D40" s="122"/>
      <c r="E40" s="124"/>
      <c r="F40" s="122"/>
      <c r="G40" s="124"/>
      <c r="H40" s="124"/>
      <c r="I40" s="124"/>
      <c r="J40" s="124"/>
      <c r="K40" s="52">
        <f t="shared" si="0"/>
        <v>0</v>
      </c>
      <c r="L40" s="122"/>
      <c r="M40" s="122"/>
      <c r="N40" s="122"/>
    </row>
    <row r="41" spans="1:14" x14ac:dyDescent="0.35">
      <c r="A41" s="50">
        <v>39</v>
      </c>
      <c r="B41" s="122"/>
      <c r="C41" s="51" t="str">
        <f>IF(ISNA(VLOOKUP(B41,Lists!A$2:B$38,2,FALSE)),"",VLOOKUP(B41,Lists!A$2:B$38,2,FALSE))</f>
        <v/>
      </c>
      <c r="D41" s="122"/>
      <c r="E41" s="124"/>
      <c r="F41" s="122"/>
      <c r="G41" s="124"/>
      <c r="H41" s="124"/>
      <c r="I41" s="124"/>
      <c r="J41" s="124"/>
      <c r="K41" s="52">
        <f t="shared" si="0"/>
        <v>0</v>
      </c>
      <c r="L41" s="122"/>
      <c r="M41" s="122"/>
      <c r="N41" s="122"/>
    </row>
    <row r="42" spans="1:14" x14ac:dyDescent="0.35">
      <c r="A42" s="50">
        <v>40</v>
      </c>
      <c r="B42" s="122"/>
      <c r="C42" s="51" t="str">
        <f>IF(ISNA(VLOOKUP(B42,Lists!A$2:B$38,2,FALSE)),"",VLOOKUP(B42,Lists!A$2:B$38,2,FALSE))</f>
        <v/>
      </c>
      <c r="D42" s="122"/>
      <c r="E42" s="124"/>
      <c r="F42" s="122"/>
      <c r="G42" s="124"/>
      <c r="H42" s="124"/>
      <c r="I42" s="124"/>
      <c r="J42" s="124"/>
      <c r="K42" s="52">
        <f t="shared" si="0"/>
        <v>0</v>
      </c>
      <c r="L42" s="122"/>
      <c r="M42" s="122"/>
      <c r="N42" s="122"/>
    </row>
    <row r="43" spans="1:14" x14ac:dyDescent="0.35">
      <c r="A43" s="50">
        <v>41</v>
      </c>
      <c r="B43" s="122"/>
      <c r="C43" s="51" t="str">
        <f>IF(ISNA(VLOOKUP(B43,Lists!A$2:B$38,2,FALSE)),"",VLOOKUP(B43,Lists!A$2:B$38,2,FALSE))</f>
        <v/>
      </c>
      <c r="D43" s="122"/>
      <c r="E43" s="124"/>
      <c r="F43" s="122"/>
      <c r="G43" s="124"/>
      <c r="H43" s="124"/>
      <c r="I43" s="124"/>
      <c r="J43" s="124"/>
      <c r="K43" s="52">
        <f t="shared" si="0"/>
        <v>0</v>
      </c>
      <c r="L43" s="122"/>
      <c r="M43" s="122"/>
      <c r="N43" s="122"/>
    </row>
    <row r="44" spans="1:14" x14ac:dyDescent="0.35">
      <c r="A44" s="50">
        <v>42</v>
      </c>
      <c r="B44" s="122"/>
      <c r="C44" s="51" t="str">
        <f>IF(ISNA(VLOOKUP(B44,Lists!A$2:B$38,2,FALSE)),"",VLOOKUP(B44,Lists!A$2:B$38,2,FALSE))</f>
        <v/>
      </c>
      <c r="D44" s="122"/>
      <c r="E44" s="124"/>
      <c r="F44" s="122"/>
      <c r="G44" s="124"/>
      <c r="H44" s="124"/>
      <c r="I44" s="124"/>
      <c r="J44" s="124"/>
      <c r="K44" s="52">
        <f t="shared" si="0"/>
        <v>0</v>
      </c>
      <c r="L44" s="122"/>
      <c r="M44" s="122"/>
      <c r="N44" s="122"/>
    </row>
    <row r="45" spans="1:14" x14ac:dyDescent="0.35">
      <c r="A45" s="50">
        <v>43</v>
      </c>
      <c r="B45" s="122"/>
      <c r="C45" s="51" t="str">
        <f>IF(ISNA(VLOOKUP(B45,Lists!A$2:B$38,2,FALSE)),"",VLOOKUP(B45,Lists!A$2:B$38,2,FALSE))</f>
        <v/>
      </c>
      <c r="D45" s="122"/>
      <c r="E45" s="124"/>
      <c r="F45" s="122"/>
      <c r="G45" s="124"/>
      <c r="H45" s="124"/>
      <c r="I45" s="124"/>
      <c r="J45" s="124"/>
      <c r="K45" s="52">
        <f t="shared" si="0"/>
        <v>0</v>
      </c>
      <c r="L45" s="122"/>
      <c r="M45" s="122"/>
      <c r="N45" s="122"/>
    </row>
    <row r="46" spans="1:14" x14ac:dyDescent="0.35">
      <c r="A46" s="50">
        <v>44</v>
      </c>
      <c r="B46" s="122"/>
      <c r="C46" s="51" t="str">
        <f>IF(ISNA(VLOOKUP(B46,Lists!A$2:B$38,2,FALSE)),"",VLOOKUP(B46,Lists!A$2:B$38,2,FALSE))</f>
        <v/>
      </c>
      <c r="D46" s="122"/>
      <c r="E46" s="124"/>
      <c r="F46" s="122"/>
      <c r="G46" s="124"/>
      <c r="H46" s="124"/>
      <c r="I46" s="124"/>
      <c r="J46" s="124"/>
      <c r="K46" s="52">
        <f t="shared" si="0"/>
        <v>0</v>
      </c>
      <c r="L46" s="122"/>
      <c r="M46" s="122"/>
      <c r="N46" s="122"/>
    </row>
    <row r="47" spans="1:14" x14ac:dyDescent="0.35">
      <c r="A47" s="50">
        <v>45</v>
      </c>
      <c r="B47" s="122"/>
      <c r="C47" s="51" t="str">
        <f>IF(ISNA(VLOOKUP(B47,Lists!A$2:B$38,2,FALSE)),"",VLOOKUP(B47,Lists!A$2:B$38,2,FALSE))</f>
        <v/>
      </c>
      <c r="D47" s="122"/>
      <c r="E47" s="124"/>
      <c r="F47" s="122"/>
      <c r="G47" s="124"/>
      <c r="H47" s="124"/>
      <c r="I47" s="124"/>
      <c r="J47" s="124"/>
      <c r="K47" s="52">
        <f t="shared" si="0"/>
        <v>0</v>
      </c>
      <c r="L47" s="122"/>
      <c r="M47" s="122"/>
      <c r="N47" s="122"/>
    </row>
    <row r="48" spans="1:14" x14ac:dyDescent="0.35">
      <c r="A48" s="50">
        <v>46</v>
      </c>
      <c r="B48" s="122"/>
      <c r="C48" s="51" t="str">
        <f>IF(ISNA(VLOOKUP(B48,Lists!A$2:B$38,2,FALSE)),"",VLOOKUP(B48,Lists!A$2:B$38,2,FALSE))</f>
        <v/>
      </c>
      <c r="D48" s="122"/>
      <c r="E48" s="124"/>
      <c r="F48" s="122"/>
      <c r="G48" s="124"/>
      <c r="H48" s="124"/>
      <c r="I48" s="124"/>
      <c r="J48" s="124"/>
      <c r="K48" s="52">
        <f t="shared" si="0"/>
        <v>0</v>
      </c>
      <c r="L48" s="122"/>
      <c r="M48" s="122"/>
      <c r="N48" s="122"/>
    </row>
    <row r="49" spans="1:14" x14ac:dyDescent="0.35">
      <c r="A49" s="50">
        <v>47</v>
      </c>
      <c r="B49" s="122"/>
      <c r="C49" s="51" t="str">
        <f>IF(ISNA(VLOOKUP(B49,Lists!A$2:B$38,2,FALSE)),"",VLOOKUP(B49,Lists!A$2:B$38,2,FALSE))</f>
        <v/>
      </c>
      <c r="D49" s="122"/>
      <c r="E49" s="124"/>
      <c r="F49" s="122"/>
      <c r="G49" s="124"/>
      <c r="H49" s="124"/>
      <c r="I49" s="124"/>
      <c r="J49" s="124"/>
      <c r="K49" s="52">
        <f t="shared" si="0"/>
        <v>0</v>
      </c>
      <c r="L49" s="122"/>
      <c r="M49" s="122"/>
      <c r="N49" s="122"/>
    </row>
    <row r="50" spans="1:14" x14ac:dyDescent="0.35">
      <c r="A50" s="50">
        <v>48</v>
      </c>
      <c r="B50" s="122"/>
      <c r="C50" s="51" t="str">
        <f>IF(ISNA(VLOOKUP(B50,Lists!A$2:B$38,2,FALSE)),"",VLOOKUP(B50,Lists!A$2:B$38,2,FALSE))</f>
        <v/>
      </c>
      <c r="D50" s="122"/>
      <c r="E50" s="124"/>
      <c r="F50" s="122"/>
      <c r="G50" s="124"/>
      <c r="H50" s="124"/>
      <c r="I50" s="124"/>
      <c r="J50" s="124"/>
      <c r="K50" s="52">
        <f t="shared" si="0"/>
        <v>0</v>
      </c>
      <c r="L50" s="122"/>
      <c r="M50" s="122"/>
      <c r="N50" s="122"/>
    </row>
    <row r="51" spans="1:14" x14ac:dyDescent="0.35">
      <c r="A51" s="50">
        <v>49</v>
      </c>
      <c r="B51" s="122"/>
      <c r="C51" s="51" t="str">
        <f>IF(ISNA(VLOOKUP(B51,Lists!A$2:B$38,2,FALSE)),"",VLOOKUP(B51,Lists!A$2:B$38,2,FALSE))</f>
        <v/>
      </c>
      <c r="D51" s="122"/>
      <c r="E51" s="124"/>
      <c r="F51" s="122"/>
      <c r="G51" s="124"/>
      <c r="H51" s="124"/>
      <c r="I51" s="124"/>
      <c r="J51" s="124"/>
      <c r="K51" s="52">
        <f t="shared" si="0"/>
        <v>0</v>
      </c>
      <c r="L51" s="122"/>
      <c r="M51" s="122"/>
      <c r="N51" s="122"/>
    </row>
    <row r="52" spans="1:14" x14ac:dyDescent="0.35">
      <c r="A52" s="50">
        <v>50</v>
      </c>
      <c r="B52" s="122"/>
      <c r="C52" s="51" t="str">
        <f>IF(ISNA(VLOOKUP(B52,Lists!A$2:B$38,2,FALSE)),"",VLOOKUP(B52,Lists!A$2:B$38,2,FALSE))</f>
        <v/>
      </c>
      <c r="D52" s="122"/>
      <c r="E52" s="124"/>
      <c r="F52" s="122"/>
      <c r="G52" s="124"/>
      <c r="H52" s="124"/>
      <c r="I52" s="124"/>
      <c r="J52" s="124"/>
      <c r="K52" s="52">
        <f t="shared" si="0"/>
        <v>0</v>
      </c>
      <c r="L52" s="122"/>
      <c r="M52" s="122"/>
      <c r="N52" s="122"/>
    </row>
    <row r="53" spans="1:14" x14ac:dyDescent="0.35">
      <c r="A53" s="50">
        <v>51</v>
      </c>
      <c r="B53" s="122"/>
      <c r="C53" s="51" t="str">
        <f>IF(ISNA(VLOOKUP(B53,Lists!A$2:B$38,2,FALSE)),"",VLOOKUP(B53,Lists!A$2:B$38,2,FALSE))</f>
        <v/>
      </c>
      <c r="D53" s="122"/>
      <c r="E53" s="124"/>
      <c r="F53" s="122"/>
      <c r="G53" s="124"/>
      <c r="H53" s="124"/>
      <c r="I53" s="124"/>
      <c r="J53" s="124"/>
      <c r="K53" s="52">
        <f t="shared" si="0"/>
        <v>0</v>
      </c>
      <c r="L53" s="122"/>
      <c r="M53" s="122"/>
      <c r="N53" s="122"/>
    </row>
    <row r="54" spans="1:14" x14ac:dyDescent="0.35">
      <c r="A54" s="50">
        <v>52</v>
      </c>
      <c r="B54" s="122"/>
      <c r="C54" s="51" t="str">
        <f>IF(ISNA(VLOOKUP(B54,Lists!A$2:B$38,2,FALSE)),"",VLOOKUP(B54,Lists!A$2:B$38,2,FALSE))</f>
        <v/>
      </c>
      <c r="D54" s="122"/>
      <c r="E54" s="124"/>
      <c r="F54" s="122"/>
      <c r="G54" s="124"/>
      <c r="H54" s="124"/>
      <c r="I54" s="124"/>
      <c r="J54" s="124"/>
      <c r="K54" s="52">
        <f t="shared" si="0"/>
        <v>0</v>
      </c>
      <c r="L54" s="122"/>
      <c r="M54" s="122"/>
      <c r="N54" s="122"/>
    </row>
    <row r="55" spans="1:14" x14ac:dyDescent="0.35">
      <c r="A55" s="50">
        <v>53</v>
      </c>
      <c r="B55" s="122"/>
      <c r="C55" s="51" t="str">
        <f>IF(ISNA(VLOOKUP(B55,Lists!A$2:B$38,2,FALSE)),"",VLOOKUP(B55,Lists!A$2:B$38,2,FALSE))</f>
        <v/>
      </c>
      <c r="D55" s="122"/>
      <c r="E55" s="124"/>
      <c r="F55" s="122"/>
      <c r="G55" s="124"/>
      <c r="H55" s="124"/>
      <c r="I55" s="124"/>
      <c r="J55" s="124"/>
      <c r="K55" s="52">
        <f t="shared" si="0"/>
        <v>0</v>
      </c>
      <c r="L55" s="122"/>
      <c r="M55" s="122"/>
      <c r="N55" s="122"/>
    </row>
    <row r="56" spans="1:14" x14ac:dyDescent="0.35">
      <c r="A56" s="50">
        <v>54</v>
      </c>
      <c r="B56" s="122"/>
      <c r="C56" s="51" t="str">
        <f>IF(ISNA(VLOOKUP(B56,Lists!A$2:B$38,2,FALSE)),"",VLOOKUP(B56,Lists!A$2:B$38,2,FALSE))</f>
        <v/>
      </c>
      <c r="D56" s="122"/>
      <c r="E56" s="124"/>
      <c r="F56" s="122"/>
      <c r="G56" s="124"/>
      <c r="H56" s="124"/>
      <c r="I56" s="124"/>
      <c r="J56" s="124"/>
      <c r="K56" s="52">
        <f t="shared" si="0"/>
        <v>0</v>
      </c>
      <c r="L56" s="122"/>
      <c r="M56" s="122"/>
      <c r="N56" s="122"/>
    </row>
    <row r="57" spans="1:14" x14ac:dyDescent="0.35">
      <c r="A57" s="50">
        <v>55</v>
      </c>
      <c r="B57" s="122"/>
      <c r="C57" s="51" t="str">
        <f>IF(ISNA(VLOOKUP(B57,Lists!A$2:B$38,2,FALSE)),"",VLOOKUP(B57,Lists!A$2:B$38,2,FALSE))</f>
        <v/>
      </c>
      <c r="D57" s="122"/>
      <c r="E57" s="124"/>
      <c r="F57" s="122"/>
      <c r="G57" s="124"/>
      <c r="H57" s="124"/>
      <c r="I57" s="124"/>
      <c r="J57" s="124"/>
      <c r="K57" s="52">
        <f t="shared" si="0"/>
        <v>0</v>
      </c>
      <c r="L57" s="122"/>
      <c r="M57" s="122"/>
      <c r="N57" s="122"/>
    </row>
    <row r="58" spans="1:14" x14ac:dyDescent="0.35">
      <c r="A58" s="50">
        <v>56</v>
      </c>
      <c r="B58" s="122"/>
      <c r="C58" s="51" t="str">
        <f>IF(ISNA(VLOOKUP(B58,Lists!A$2:B$38,2,FALSE)),"",VLOOKUP(B58,Lists!A$2:B$38,2,FALSE))</f>
        <v/>
      </c>
      <c r="D58" s="122"/>
      <c r="E58" s="124"/>
      <c r="F58" s="122"/>
      <c r="G58" s="124"/>
      <c r="H58" s="124"/>
      <c r="I58" s="124"/>
      <c r="J58" s="124"/>
      <c r="K58" s="52">
        <f t="shared" si="0"/>
        <v>0</v>
      </c>
      <c r="L58" s="122"/>
      <c r="M58" s="122"/>
      <c r="N58" s="122"/>
    </row>
    <row r="59" spans="1:14" x14ac:dyDescent="0.35">
      <c r="A59" s="50">
        <v>57</v>
      </c>
      <c r="B59" s="122"/>
      <c r="C59" s="51" t="str">
        <f>IF(ISNA(VLOOKUP(B59,Lists!A$2:B$38,2,FALSE)),"",VLOOKUP(B59,Lists!A$2:B$38,2,FALSE))</f>
        <v/>
      </c>
      <c r="D59" s="122"/>
      <c r="E59" s="124"/>
      <c r="F59" s="122"/>
      <c r="G59" s="124"/>
      <c r="H59" s="124"/>
      <c r="I59" s="124"/>
      <c r="J59" s="124"/>
      <c r="K59" s="52">
        <f t="shared" si="0"/>
        <v>0</v>
      </c>
      <c r="L59" s="122"/>
      <c r="M59" s="122"/>
      <c r="N59" s="122"/>
    </row>
    <row r="60" spans="1:14" x14ac:dyDescent="0.35">
      <c r="A60" s="50">
        <v>58</v>
      </c>
      <c r="B60" s="122"/>
      <c r="C60" s="51" t="str">
        <f>IF(ISNA(VLOOKUP(B60,Lists!A$2:B$38,2,FALSE)),"",VLOOKUP(B60,Lists!A$2:B$38,2,FALSE))</f>
        <v/>
      </c>
      <c r="D60" s="122"/>
      <c r="E60" s="124"/>
      <c r="F60" s="122"/>
      <c r="G60" s="124"/>
      <c r="H60" s="124"/>
      <c r="I60" s="124"/>
      <c r="J60" s="124"/>
      <c r="K60" s="52">
        <f t="shared" si="0"/>
        <v>0</v>
      </c>
      <c r="L60" s="122"/>
      <c r="M60" s="122"/>
      <c r="N60" s="122"/>
    </row>
    <row r="61" spans="1:14" x14ac:dyDescent="0.35">
      <c r="A61" s="50">
        <v>59</v>
      </c>
      <c r="B61" s="122"/>
      <c r="C61" s="51" t="str">
        <f>IF(ISNA(VLOOKUP(B61,Lists!A$2:B$38,2,FALSE)),"",VLOOKUP(B61,Lists!A$2:B$38,2,FALSE))</f>
        <v/>
      </c>
      <c r="D61" s="122"/>
      <c r="E61" s="124"/>
      <c r="F61" s="122"/>
      <c r="G61" s="124"/>
      <c r="H61" s="124"/>
      <c r="I61" s="124"/>
      <c r="J61" s="124"/>
      <c r="K61" s="52">
        <f t="shared" si="0"/>
        <v>0</v>
      </c>
      <c r="L61" s="122"/>
      <c r="M61" s="122"/>
      <c r="N61" s="122"/>
    </row>
    <row r="62" spans="1:14" x14ac:dyDescent="0.35">
      <c r="A62" s="50">
        <v>60</v>
      </c>
      <c r="B62" s="122"/>
      <c r="C62" s="51" t="str">
        <f>IF(ISNA(VLOOKUP(B62,Lists!A$2:B$38,2,FALSE)),"",VLOOKUP(B62,Lists!A$2:B$38,2,FALSE))</f>
        <v/>
      </c>
      <c r="D62" s="122"/>
      <c r="E62" s="124"/>
      <c r="F62" s="122"/>
      <c r="G62" s="124"/>
      <c r="H62" s="124"/>
      <c r="I62" s="124"/>
      <c r="J62" s="124"/>
      <c r="K62" s="52">
        <f t="shared" si="0"/>
        <v>0</v>
      </c>
      <c r="L62" s="122"/>
      <c r="M62" s="122"/>
      <c r="N62" s="122"/>
    </row>
    <row r="63" spans="1:14" x14ac:dyDescent="0.35">
      <c r="A63" s="50">
        <v>61</v>
      </c>
      <c r="B63" s="122"/>
      <c r="C63" s="51" t="str">
        <f>IF(ISNA(VLOOKUP(B63,Lists!A$2:B$38,2,FALSE)),"",VLOOKUP(B63,Lists!A$2:B$38,2,FALSE))</f>
        <v/>
      </c>
      <c r="D63" s="122"/>
      <c r="E63" s="124"/>
      <c r="F63" s="122"/>
      <c r="G63" s="124"/>
      <c r="H63" s="124"/>
      <c r="I63" s="124"/>
      <c r="J63" s="124"/>
      <c r="K63" s="52">
        <f t="shared" si="0"/>
        <v>0</v>
      </c>
      <c r="L63" s="122"/>
      <c r="M63" s="122"/>
      <c r="N63" s="122"/>
    </row>
    <row r="64" spans="1:14" x14ac:dyDescent="0.35">
      <c r="A64" s="50">
        <v>62</v>
      </c>
      <c r="B64" s="122"/>
      <c r="C64" s="51" t="str">
        <f>IF(ISNA(VLOOKUP(B64,Lists!A$2:B$38,2,FALSE)),"",VLOOKUP(B64,Lists!A$2:B$38,2,FALSE))</f>
        <v/>
      </c>
      <c r="D64" s="122"/>
      <c r="E64" s="124"/>
      <c r="F64" s="122"/>
      <c r="G64" s="124"/>
      <c r="H64" s="124"/>
      <c r="I64" s="124"/>
      <c r="J64" s="124"/>
      <c r="K64" s="52">
        <f t="shared" si="0"/>
        <v>0</v>
      </c>
      <c r="L64" s="122"/>
      <c r="M64" s="122"/>
      <c r="N64" s="122"/>
    </row>
    <row r="65" spans="1:14" x14ac:dyDescent="0.35">
      <c r="A65" s="50">
        <v>63</v>
      </c>
      <c r="B65" s="122"/>
      <c r="C65" s="51" t="str">
        <f>IF(ISNA(VLOOKUP(B65,Lists!A$2:B$38,2,FALSE)),"",VLOOKUP(B65,Lists!A$2:B$38,2,FALSE))</f>
        <v/>
      </c>
      <c r="D65" s="122"/>
      <c r="E65" s="124"/>
      <c r="F65" s="122"/>
      <c r="G65" s="124"/>
      <c r="H65" s="124"/>
      <c r="I65" s="124"/>
      <c r="J65" s="124"/>
      <c r="K65" s="52">
        <f t="shared" si="0"/>
        <v>0</v>
      </c>
      <c r="L65" s="122"/>
      <c r="M65" s="122"/>
      <c r="N65" s="122"/>
    </row>
    <row r="66" spans="1:14" x14ac:dyDescent="0.35">
      <c r="A66" s="50">
        <v>64</v>
      </c>
      <c r="B66" s="122"/>
      <c r="C66" s="51" t="str">
        <f>IF(ISNA(VLOOKUP(B66,Lists!A$2:B$38,2,FALSE)),"",VLOOKUP(B66,Lists!A$2:B$38,2,FALSE))</f>
        <v/>
      </c>
      <c r="D66" s="122"/>
      <c r="E66" s="124"/>
      <c r="F66" s="122"/>
      <c r="G66" s="124"/>
      <c r="H66" s="124"/>
      <c r="I66" s="124"/>
      <c r="J66" s="124"/>
      <c r="K66" s="52">
        <f t="shared" si="0"/>
        <v>0</v>
      </c>
      <c r="L66" s="122"/>
      <c r="M66" s="122"/>
      <c r="N66" s="122"/>
    </row>
    <row r="67" spans="1:14" x14ac:dyDescent="0.35">
      <c r="A67" s="50">
        <v>65</v>
      </c>
      <c r="B67" s="122"/>
      <c r="C67" s="51" t="str">
        <f>IF(ISNA(VLOOKUP(B67,Lists!A$2:B$38,2,FALSE)),"",VLOOKUP(B67,Lists!A$2:B$38,2,FALSE))</f>
        <v/>
      </c>
      <c r="D67" s="122"/>
      <c r="E67" s="124"/>
      <c r="F67" s="122"/>
      <c r="G67" s="124"/>
      <c r="H67" s="124"/>
      <c r="I67" s="124"/>
      <c r="J67" s="124"/>
      <c r="K67" s="52">
        <f t="shared" si="0"/>
        <v>0</v>
      </c>
      <c r="L67" s="122"/>
      <c r="M67" s="122"/>
      <c r="N67" s="122"/>
    </row>
    <row r="68" spans="1:14" x14ac:dyDescent="0.35">
      <c r="A68" s="50">
        <v>66</v>
      </c>
      <c r="B68" s="122"/>
      <c r="C68" s="51" t="str">
        <f>IF(ISNA(VLOOKUP(B68,Lists!A$2:B$38,2,FALSE)),"",VLOOKUP(B68,Lists!A$2:B$38,2,FALSE))</f>
        <v/>
      </c>
      <c r="D68" s="122"/>
      <c r="E68" s="124"/>
      <c r="F68" s="122"/>
      <c r="G68" s="124"/>
      <c r="H68" s="124"/>
      <c r="I68" s="124"/>
      <c r="J68" s="124"/>
      <c r="K68" s="52">
        <f t="shared" ref="K68:K131" si="1">G68*(H68/1000)*(I68/1000)*(J68/1000)</f>
        <v>0</v>
      </c>
      <c r="L68" s="122"/>
      <c r="M68" s="122"/>
      <c r="N68" s="122"/>
    </row>
    <row r="69" spans="1:14" x14ac:dyDescent="0.35">
      <c r="A69" s="50">
        <v>67</v>
      </c>
      <c r="B69" s="122"/>
      <c r="C69" s="51" t="str">
        <f>IF(ISNA(VLOOKUP(B69,Lists!A$2:B$38,2,FALSE)),"",VLOOKUP(B69,Lists!A$2:B$38,2,FALSE))</f>
        <v/>
      </c>
      <c r="D69" s="122"/>
      <c r="E69" s="124"/>
      <c r="F69" s="122"/>
      <c r="G69" s="124"/>
      <c r="H69" s="124"/>
      <c r="I69" s="124"/>
      <c r="J69" s="124"/>
      <c r="K69" s="52">
        <f t="shared" si="1"/>
        <v>0</v>
      </c>
      <c r="L69" s="122"/>
      <c r="M69" s="122"/>
      <c r="N69" s="122"/>
    </row>
    <row r="70" spans="1:14" x14ac:dyDescent="0.35">
      <c r="A70" s="50">
        <v>68</v>
      </c>
      <c r="B70" s="122"/>
      <c r="C70" s="51" t="str">
        <f>IF(ISNA(VLOOKUP(B70,Lists!A$2:B$38,2,FALSE)),"",VLOOKUP(B70,Lists!A$2:B$38,2,FALSE))</f>
        <v/>
      </c>
      <c r="D70" s="122"/>
      <c r="E70" s="124"/>
      <c r="F70" s="122"/>
      <c r="G70" s="124"/>
      <c r="H70" s="124"/>
      <c r="I70" s="124"/>
      <c r="J70" s="124"/>
      <c r="K70" s="52">
        <f t="shared" si="1"/>
        <v>0</v>
      </c>
      <c r="L70" s="122"/>
      <c r="M70" s="122"/>
      <c r="N70" s="122"/>
    </row>
    <row r="71" spans="1:14" x14ac:dyDescent="0.35">
      <c r="A71" s="50">
        <v>69</v>
      </c>
      <c r="B71" s="122"/>
      <c r="C71" s="51" t="str">
        <f>IF(ISNA(VLOOKUP(B71,Lists!A$2:B$38,2,FALSE)),"",VLOOKUP(B71,Lists!A$2:B$38,2,FALSE))</f>
        <v/>
      </c>
      <c r="D71" s="122"/>
      <c r="E71" s="124"/>
      <c r="F71" s="122"/>
      <c r="G71" s="124"/>
      <c r="H71" s="124"/>
      <c r="I71" s="124"/>
      <c r="J71" s="124"/>
      <c r="K71" s="52">
        <f t="shared" si="1"/>
        <v>0</v>
      </c>
      <c r="L71" s="122"/>
      <c r="M71" s="122"/>
      <c r="N71" s="122"/>
    </row>
    <row r="72" spans="1:14" x14ac:dyDescent="0.35">
      <c r="A72" s="50">
        <v>70</v>
      </c>
      <c r="B72" s="122"/>
      <c r="C72" s="51" t="str">
        <f>IF(ISNA(VLOOKUP(B72,Lists!A$2:B$38,2,FALSE)),"",VLOOKUP(B72,Lists!A$2:B$38,2,FALSE))</f>
        <v/>
      </c>
      <c r="D72" s="122"/>
      <c r="E72" s="124"/>
      <c r="F72" s="122"/>
      <c r="G72" s="124"/>
      <c r="H72" s="124"/>
      <c r="I72" s="124"/>
      <c r="J72" s="124"/>
      <c r="K72" s="52">
        <f t="shared" si="1"/>
        <v>0</v>
      </c>
      <c r="L72" s="122"/>
      <c r="M72" s="122"/>
      <c r="N72" s="122"/>
    </row>
    <row r="73" spans="1:14" x14ac:dyDescent="0.35">
      <c r="A73" s="50">
        <v>71</v>
      </c>
      <c r="B73" s="122"/>
      <c r="C73" s="51" t="str">
        <f>IF(ISNA(VLOOKUP(B73,Lists!A$2:B$38,2,FALSE)),"",VLOOKUP(B73,Lists!A$2:B$38,2,FALSE))</f>
        <v/>
      </c>
      <c r="D73" s="122"/>
      <c r="E73" s="124"/>
      <c r="F73" s="122"/>
      <c r="G73" s="124"/>
      <c r="H73" s="124"/>
      <c r="I73" s="124"/>
      <c r="J73" s="124"/>
      <c r="K73" s="52">
        <f t="shared" si="1"/>
        <v>0</v>
      </c>
      <c r="L73" s="122"/>
      <c r="M73" s="122"/>
      <c r="N73" s="122"/>
    </row>
    <row r="74" spans="1:14" x14ac:dyDescent="0.35">
      <c r="A74" s="50">
        <v>72</v>
      </c>
      <c r="B74" s="122"/>
      <c r="C74" s="51" t="str">
        <f>IF(ISNA(VLOOKUP(B74,Lists!A$2:B$38,2,FALSE)),"",VLOOKUP(B74,Lists!A$2:B$38,2,FALSE))</f>
        <v/>
      </c>
      <c r="D74" s="122"/>
      <c r="E74" s="124"/>
      <c r="F74" s="122"/>
      <c r="G74" s="124"/>
      <c r="H74" s="124"/>
      <c r="I74" s="124"/>
      <c r="J74" s="124"/>
      <c r="K74" s="52">
        <f t="shared" si="1"/>
        <v>0</v>
      </c>
      <c r="L74" s="122"/>
      <c r="M74" s="122"/>
      <c r="N74" s="122"/>
    </row>
    <row r="75" spans="1:14" x14ac:dyDescent="0.35">
      <c r="A75" s="50">
        <v>73</v>
      </c>
      <c r="B75" s="122"/>
      <c r="C75" s="51" t="str">
        <f>IF(ISNA(VLOOKUP(B75,Lists!A$2:B$38,2,FALSE)),"",VLOOKUP(B75,Lists!A$2:B$38,2,FALSE))</f>
        <v/>
      </c>
      <c r="D75" s="122"/>
      <c r="E75" s="124"/>
      <c r="F75" s="122"/>
      <c r="G75" s="124"/>
      <c r="H75" s="124"/>
      <c r="I75" s="124"/>
      <c r="J75" s="124"/>
      <c r="K75" s="52">
        <f t="shared" si="1"/>
        <v>0</v>
      </c>
      <c r="L75" s="122"/>
      <c r="M75" s="122"/>
      <c r="N75" s="122"/>
    </row>
    <row r="76" spans="1:14" x14ac:dyDescent="0.35">
      <c r="A76" s="50">
        <v>74</v>
      </c>
      <c r="B76" s="122"/>
      <c r="C76" s="51" t="str">
        <f>IF(ISNA(VLOOKUP(B76,Lists!A$2:B$38,2,FALSE)),"",VLOOKUP(B76,Lists!A$2:B$38,2,FALSE))</f>
        <v/>
      </c>
      <c r="D76" s="122"/>
      <c r="E76" s="124"/>
      <c r="F76" s="122"/>
      <c r="G76" s="124"/>
      <c r="H76" s="124"/>
      <c r="I76" s="124"/>
      <c r="J76" s="124"/>
      <c r="K76" s="52">
        <f t="shared" si="1"/>
        <v>0</v>
      </c>
      <c r="L76" s="122"/>
      <c r="M76" s="122"/>
      <c r="N76" s="122"/>
    </row>
    <row r="77" spans="1:14" x14ac:dyDescent="0.35">
      <c r="A77" s="50">
        <v>75</v>
      </c>
      <c r="B77" s="122"/>
      <c r="C77" s="51" t="str">
        <f>IF(ISNA(VLOOKUP(B77,Lists!A$2:B$38,2,FALSE)),"",VLOOKUP(B77,Lists!A$2:B$38,2,FALSE))</f>
        <v/>
      </c>
      <c r="D77" s="122"/>
      <c r="E77" s="124"/>
      <c r="F77" s="122"/>
      <c r="G77" s="124"/>
      <c r="H77" s="124"/>
      <c r="I77" s="124"/>
      <c r="J77" s="124"/>
      <c r="K77" s="52">
        <f t="shared" si="1"/>
        <v>0</v>
      </c>
      <c r="L77" s="122"/>
      <c r="M77" s="122"/>
      <c r="N77" s="122"/>
    </row>
    <row r="78" spans="1:14" x14ac:dyDescent="0.35">
      <c r="A78" s="50">
        <v>76</v>
      </c>
      <c r="B78" s="122"/>
      <c r="C78" s="51" t="str">
        <f>IF(ISNA(VLOOKUP(B78,Lists!A$2:B$38,2,FALSE)),"",VLOOKUP(B78,Lists!A$2:B$38,2,FALSE))</f>
        <v/>
      </c>
      <c r="D78" s="122"/>
      <c r="E78" s="124"/>
      <c r="F78" s="122"/>
      <c r="G78" s="124"/>
      <c r="H78" s="124"/>
      <c r="I78" s="124"/>
      <c r="J78" s="124"/>
      <c r="K78" s="52">
        <f t="shared" si="1"/>
        <v>0</v>
      </c>
      <c r="L78" s="122"/>
      <c r="M78" s="122"/>
      <c r="N78" s="122"/>
    </row>
    <row r="79" spans="1:14" x14ac:dyDescent="0.35">
      <c r="A79" s="50">
        <v>77</v>
      </c>
      <c r="B79" s="122"/>
      <c r="C79" s="51" t="str">
        <f>IF(ISNA(VLOOKUP(B79,Lists!A$2:B$38,2,FALSE)),"",VLOOKUP(B79,Lists!A$2:B$38,2,FALSE))</f>
        <v/>
      </c>
      <c r="D79" s="122"/>
      <c r="E79" s="124"/>
      <c r="F79" s="122"/>
      <c r="G79" s="124"/>
      <c r="H79" s="124"/>
      <c r="I79" s="124"/>
      <c r="J79" s="124"/>
      <c r="K79" s="52">
        <f t="shared" si="1"/>
        <v>0</v>
      </c>
      <c r="L79" s="122"/>
      <c r="M79" s="122"/>
      <c r="N79" s="122"/>
    </row>
    <row r="80" spans="1:14" x14ac:dyDescent="0.35">
      <c r="A80" s="50">
        <v>78</v>
      </c>
      <c r="B80" s="122"/>
      <c r="C80" s="51" t="str">
        <f>IF(ISNA(VLOOKUP(B80,Lists!A$2:B$38,2,FALSE)),"",VLOOKUP(B80,Lists!A$2:B$38,2,FALSE))</f>
        <v/>
      </c>
      <c r="D80" s="122"/>
      <c r="E80" s="124"/>
      <c r="F80" s="122"/>
      <c r="G80" s="124"/>
      <c r="H80" s="124"/>
      <c r="I80" s="124"/>
      <c r="J80" s="124"/>
      <c r="K80" s="52">
        <f t="shared" si="1"/>
        <v>0</v>
      </c>
      <c r="L80" s="122"/>
      <c r="M80" s="122"/>
      <c r="N80" s="122"/>
    </row>
    <row r="81" spans="1:14" x14ac:dyDescent="0.35">
      <c r="A81" s="50">
        <v>79</v>
      </c>
      <c r="B81" s="122"/>
      <c r="C81" s="51" t="str">
        <f>IF(ISNA(VLOOKUP(B81,Lists!A$2:B$38,2,FALSE)),"",VLOOKUP(B81,Lists!A$2:B$38,2,FALSE))</f>
        <v/>
      </c>
      <c r="D81" s="122"/>
      <c r="E81" s="124"/>
      <c r="F81" s="122"/>
      <c r="G81" s="124"/>
      <c r="H81" s="124"/>
      <c r="I81" s="124"/>
      <c r="J81" s="124"/>
      <c r="K81" s="52">
        <f t="shared" si="1"/>
        <v>0</v>
      </c>
      <c r="L81" s="122"/>
      <c r="M81" s="122"/>
      <c r="N81" s="122"/>
    </row>
    <row r="82" spans="1:14" x14ac:dyDescent="0.35">
      <c r="A82" s="50">
        <v>80</v>
      </c>
      <c r="B82" s="122"/>
      <c r="C82" s="51" t="str">
        <f>IF(ISNA(VLOOKUP(B82,Lists!A$2:B$38,2,FALSE)),"",VLOOKUP(B82,Lists!A$2:B$38,2,FALSE))</f>
        <v/>
      </c>
      <c r="D82" s="122"/>
      <c r="E82" s="124"/>
      <c r="F82" s="122"/>
      <c r="G82" s="124"/>
      <c r="H82" s="124"/>
      <c r="I82" s="124"/>
      <c r="J82" s="124"/>
      <c r="K82" s="52">
        <f t="shared" si="1"/>
        <v>0</v>
      </c>
      <c r="L82" s="122"/>
      <c r="M82" s="122"/>
      <c r="N82" s="122"/>
    </row>
    <row r="83" spans="1:14" x14ac:dyDescent="0.35">
      <c r="A83" s="50">
        <v>81</v>
      </c>
      <c r="B83" s="122"/>
      <c r="C83" s="51" t="str">
        <f>IF(ISNA(VLOOKUP(B83,Lists!A$2:B$38,2,FALSE)),"",VLOOKUP(B83,Lists!A$2:B$38,2,FALSE))</f>
        <v/>
      </c>
      <c r="D83" s="122"/>
      <c r="E83" s="124"/>
      <c r="F83" s="122"/>
      <c r="G83" s="124"/>
      <c r="H83" s="124"/>
      <c r="I83" s="124"/>
      <c r="J83" s="124"/>
      <c r="K83" s="52">
        <f t="shared" si="1"/>
        <v>0</v>
      </c>
      <c r="L83" s="122"/>
      <c r="M83" s="122"/>
      <c r="N83" s="122"/>
    </row>
    <row r="84" spans="1:14" x14ac:dyDescent="0.35">
      <c r="A84" s="50">
        <v>82</v>
      </c>
      <c r="B84" s="122"/>
      <c r="C84" s="51" t="str">
        <f>IF(ISNA(VLOOKUP(B84,Lists!A$2:B$38,2,FALSE)),"",VLOOKUP(B84,Lists!A$2:B$38,2,FALSE))</f>
        <v/>
      </c>
      <c r="D84" s="122"/>
      <c r="E84" s="124"/>
      <c r="F84" s="122"/>
      <c r="G84" s="124"/>
      <c r="H84" s="124"/>
      <c r="I84" s="124"/>
      <c r="J84" s="124"/>
      <c r="K84" s="52">
        <f t="shared" si="1"/>
        <v>0</v>
      </c>
      <c r="L84" s="122"/>
      <c r="M84" s="122"/>
      <c r="N84" s="122"/>
    </row>
    <row r="85" spans="1:14" x14ac:dyDescent="0.35">
      <c r="A85" s="50">
        <v>83</v>
      </c>
      <c r="B85" s="122"/>
      <c r="C85" s="51" t="str">
        <f>IF(ISNA(VLOOKUP(B85,Lists!A$2:B$38,2,FALSE)),"",VLOOKUP(B85,Lists!A$2:B$38,2,FALSE))</f>
        <v/>
      </c>
      <c r="D85" s="122"/>
      <c r="E85" s="124"/>
      <c r="F85" s="122"/>
      <c r="G85" s="124"/>
      <c r="H85" s="124"/>
      <c r="I85" s="124"/>
      <c r="J85" s="124"/>
      <c r="K85" s="52">
        <f t="shared" si="1"/>
        <v>0</v>
      </c>
      <c r="L85" s="122"/>
      <c r="M85" s="122"/>
      <c r="N85" s="122"/>
    </row>
    <row r="86" spans="1:14" x14ac:dyDescent="0.35">
      <c r="A86" s="50">
        <v>84</v>
      </c>
      <c r="B86" s="122"/>
      <c r="C86" s="51" t="str">
        <f>IF(ISNA(VLOOKUP(B86,Lists!A$2:B$38,2,FALSE)),"",VLOOKUP(B86,Lists!A$2:B$38,2,FALSE))</f>
        <v/>
      </c>
      <c r="D86" s="122"/>
      <c r="E86" s="124"/>
      <c r="F86" s="122"/>
      <c r="G86" s="124"/>
      <c r="H86" s="124"/>
      <c r="I86" s="124"/>
      <c r="J86" s="124"/>
      <c r="K86" s="52">
        <f t="shared" si="1"/>
        <v>0</v>
      </c>
      <c r="L86" s="122"/>
      <c r="M86" s="122"/>
      <c r="N86" s="122"/>
    </row>
    <row r="87" spans="1:14" x14ac:dyDescent="0.35">
      <c r="A87" s="50">
        <v>85</v>
      </c>
      <c r="B87" s="122"/>
      <c r="C87" s="51" t="str">
        <f>IF(ISNA(VLOOKUP(B87,Lists!A$2:B$38,2,FALSE)),"",VLOOKUP(B87,Lists!A$2:B$38,2,FALSE))</f>
        <v/>
      </c>
      <c r="D87" s="122"/>
      <c r="E87" s="124"/>
      <c r="F87" s="122"/>
      <c r="G87" s="124"/>
      <c r="H87" s="124"/>
      <c r="I87" s="124"/>
      <c r="J87" s="124"/>
      <c r="K87" s="52">
        <f t="shared" si="1"/>
        <v>0</v>
      </c>
      <c r="L87" s="122"/>
      <c r="M87" s="122"/>
      <c r="N87" s="122"/>
    </row>
    <row r="88" spans="1:14" x14ac:dyDescent="0.35">
      <c r="A88" s="50">
        <v>86</v>
      </c>
      <c r="B88" s="122"/>
      <c r="C88" s="51" t="str">
        <f>IF(ISNA(VLOOKUP(B88,Lists!A$2:B$38,2,FALSE)),"",VLOOKUP(B88,Lists!A$2:B$38,2,FALSE))</f>
        <v/>
      </c>
      <c r="D88" s="122"/>
      <c r="E88" s="124"/>
      <c r="F88" s="122"/>
      <c r="G88" s="124"/>
      <c r="H88" s="124"/>
      <c r="I88" s="124"/>
      <c r="J88" s="124"/>
      <c r="K88" s="52">
        <f t="shared" si="1"/>
        <v>0</v>
      </c>
      <c r="L88" s="122"/>
      <c r="M88" s="122"/>
      <c r="N88" s="122"/>
    </row>
    <row r="89" spans="1:14" x14ac:dyDescent="0.35">
      <c r="A89" s="50">
        <v>87</v>
      </c>
      <c r="B89" s="122"/>
      <c r="C89" s="51" t="str">
        <f>IF(ISNA(VLOOKUP(B89,Lists!A$2:B$38,2,FALSE)),"",VLOOKUP(B89,Lists!A$2:B$38,2,FALSE))</f>
        <v/>
      </c>
      <c r="D89" s="122"/>
      <c r="E89" s="124"/>
      <c r="F89" s="122"/>
      <c r="G89" s="124"/>
      <c r="H89" s="124"/>
      <c r="I89" s="124"/>
      <c r="J89" s="124"/>
      <c r="K89" s="52">
        <f t="shared" si="1"/>
        <v>0</v>
      </c>
      <c r="L89" s="122"/>
      <c r="M89" s="122"/>
      <c r="N89" s="122"/>
    </row>
    <row r="90" spans="1:14" x14ac:dyDescent="0.35">
      <c r="A90" s="50">
        <v>88</v>
      </c>
      <c r="B90" s="122"/>
      <c r="C90" s="51" t="str">
        <f>IF(ISNA(VLOOKUP(B90,Lists!A$2:B$38,2,FALSE)),"",VLOOKUP(B90,Lists!A$2:B$38,2,FALSE))</f>
        <v/>
      </c>
      <c r="D90" s="122"/>
      <c r="E90" s="124"/>
      <c r="F90" s="122"/>
      <c r="G90" s="124"/>
      <c r="H90" s="124"/>
      <c r="I90" s="124"/>
      <c r="J90" s="124"/>
      <c r="K90" s="52">
        <f t="shared" si="1"/>
        <v>0</v>
      </c>
      <c r="L90" s="122"/>
      <c r="M90" s="122"/>
      <c r="N90" s="122"/>
    </row>
    <row r="91" spans="1:14" x14ac:dyDescent="0.35">
      <c r="A91" s="50">
        <v>89</v>
      </c>
      <c r="B91" s="122"/>
      <c r="C91" s="51" t="str">
        <f>IF(ISNA(VLOOKUP(B91,Lists!A$2:B$38,2,FALSE)),"",VLOOKUP(B91,Lists!A$2:B$38,2,FALSE))</f>
        <v/>
      </c>
      <c r="D91" s="122"/>
      <c r="E91" s="124"/>
      <c r="F91" s="122"/>
      <c r="G91" s="124"/>
      <c r="H91" s="124"/>
      <c r="I91" s="124"/>
      <c r="J91" s="124"/>
      <c r="K91" s="52">
        <f t="shared" si="1"/>
        <v>0</v>
      </c>
      <c r="L91" s="122"/>
      <c r="M91" s="122"/>
      <c r="N91" s="122"/>
    </row>
    <row r="92" spans="1:14" x14ac:dyDescent="0.35">
      <c r="A92" s="50">
        <v>90</v>
      </c>
      <c r="B92" s="122"/>
      <c r="C92" s="51" t="str">
        <f>IF(ISNA(VLOOKUP(B92,Lists!A$2:B$38,2,FALSE)),"",VLOOKUP(B92,Lists!A$2:B$38,2,FALSE))</f>
        <v/>
      </c>
      <c r="D92" s="122"/>
      <c r="E92" s="124"/>
      <c r="F92" s="122"/>
      <c r="G92" s="124"/>
      <c r="H92" s="124"/>
      <c r="I92" s="124"/>
      <c r="J92" s="124"/>
      <c r="K92" s="52">
        <f t="shared" si="1"/>
        <v>0</v>
      </c>
      <c r="L92" s="122"/>
      <c r="M92" s="122"/>
      <c r="N92" s="122"/>
    </row>
    <row r="93" spans="1:14" x14ac:dyDescent="0.35">
      <c r="A93" s="50">
        <v>91</v>
      </c>
      <c r="B93" s="122"/>
      <c r="C93" s="51" t="str">
        <f>IF(ISNA(VLOOKUP(B93,Lists!A$2:B$38,2,FALSE)),"",VLOOKUP(B93,Lists!A$2:B$38,2,FALSE))</f>
        <v/>
      </c>
      <c r="D93" s="122"/>
      <c r="E93" s="124"/>
      <c r="F93" s="122"/>
      <c r="G93" s="124"/>
      <c r="H93" s="124"/>
      <c r="I93" s="124"/>
      <c r="J93" s="124"/>
      <c r="K93" s="52">
        <f t="shared" si="1"/>
        <v>0</v>
      </c>
      <c r="L93" s="122"/>
      <c r="M93" s="122"/>
      <c r="N93" s="122"/>
    </row>
    <row r="94" spans="1:14" x14ac:dyDescent="0.35">
      <c r="A94" s="50">
        <v>92</v>
      </c>
      <c r="B94" s="122"/>
      <c r="C94" s="51" t="str">
        <f>IF(ISNA(VLOOKUP(B94,Lists!A$2:B$38,2,FALSE)),"",VLOOKUP(B94,Lists!A$2:B$38,2,FALSE))</f>
        <v/>
      </c>
      <c r="D94" s="122"/>
      <c r="E94" s="124"/>
      <c r="F94" s="122"/>
      <c r="G94" s="124"/>
      <c r="H94" s="124"/>
      <c r="I94" s="124"/>
      <c r="J94" s="124"/>
      <c r="K94" s="52">
        <f t="shared" si="1"/>
        <v>0</v>
      </c>
      <c r="L94" s="122"/>
      <c r="M94" s="122"/>
      <c r="N94" s="122"/>
    </row>
    <row r="95" spans="1:14" x14ac:dyDescent="0.35">
      <c r="A95" s="50">
        <v>93</v>
      </c>
      <c r="B95" s="122"/>
      <c r="C95" s="51" t="str">
        <f>IF(ISNA(VLOOKUP(B95,Lists!A$2:B$38,2,FALSE)),"",VLOOKUP(B95,Lists!A$2:B$38,2,FALSE))</f>
        <v/>
      </c>
      <c r="D95" s="122"/>
      <c r="E95" s="124"/>
      <c r="F95" s="122"/>
      <c r="G95" s="124"/>
      <c r="H95" s="124"/>
      <c r="I95" s="124"/>
      <c r="J95" s="124"/>
      <c r="K95" s="52">
        <f t="shared" si="1"/>
        <v>0</v>
      </c>
      <c r="L95" s="122"/>
      <c r="M95" s="122"/>
      <c r="N95" s="122"/>
    </row>
    <row r="96" spans="1:14" x14ac:dyDescent="0.35">
      <c r="A96" s="50">
        <v>94</v>
      </c>
      <c r="B96" s="122"/>
      <c r="C96" s="51" t="str">
        <f>IF(ISNA(VLOOKUP(B96,Lists!A$2:B$38,2,FALSE)),"",VLOOKUP(B96,Lists!A$2:B$38,2,FALSE))</f>
        <v/>
      </c>
      <c r="D96" s="122"/>
      <c r="E96" s="124"/>
      <c r="F96" s="122"/>
      <c r="G96" s="124"/>
      <c r="H96" s="124"/>
      <c r="I96" s="124"/>
      <c r="J96" s="124"/>
      <c r="K96" s="52">
        <f t="shared" si="1"/>
        <v>0</v>
      </c>
      <c r="L96" s="122"/>
      <c r="M96" s="122"/>
      <c r="N96" s="122"/>
    </row>
    <row r="97" spans="1:14" x14ac:dyDescent="0.35">
      <c r="A97" s="50">
        <v>95</v>
      </c>
      <c r="B97" s="122"/>
      <c r="C97" s="51" t="str">
        <f>IF(ISNA(VLOOKUP(B97,Lists!A$2:B$38,2,FALSE)),"",VLOOKUP(B97,Lists!A$2:B$38,2,FALSE))</f>
        <v/>
      </c>
      <c r="D97" s="122"/>
      <c r="E97" s="124"/>
      <c r="F97" s="122"/>
      <c r="G97" s="124"/>
      <c r="H97" s="124"/>
      <c r="I97" s="124"/>
      <c r="J97" s="124"/>
      <c r="K97" s="52">
        <f t="shared" si="1"/>
        <v>0</v>
      </c>
      <c r="L97" s="122"/>
      <c r="M97" s="122"/>
      <c r="N97" s="122"/>
    </row>
    <row r="98" spans="1:14" x14ac:dyDescent="0.35">
      <c r="A98" s="50">
        <v>96</v>
      </c>
      <c r="B98" s="122"/>
      <c r="C98" s="51" t="str">
        <f>IF(ISNA(VLOOKUP(B98,Lists!A$2:B$38,2,FALSE)),"",VLOOKUP(B98,Lists!A$2:B$38,2,FALSE))</f>
        <v/>
      </c>
      <c r="D98" s="122"/>
      <c r="E98" s="124"/>
      <c r="F98" s="122"/>
      <c r="G98" s="124"/>
      <c r="H98" s="124"/>
      <c r="I98" s="124"/>
      <c r="J98" s="124"/>
      <c r="K98" s="52">
        <f t="shared" si="1"/>
        <v>0</v>
      </c>
      <c r="L98" s="122"/>
      <c r="M98" s="122"/>
      <c r="N98" s="122"/>
    </row>
    <row r="99" spans="1:14" x14ac:dyDescent="0.35">
      <c r="A99" s="50">
        <v>97</v>
      </c>
      <c r="B99" s="122"/>
      <c r="C99" s="51" t="str">
        <f>IF(ISNA(VLOOKUP(B99,Lists!A$2:B$38,2,FALSE)),"",VLOOKUP(B99,Lists!A$2:B$38,2,FALSE))</f>
        <v/>
      </c>
      <c r="D99" s="122"/>
      <c r="E99" s="124"/>
      <c r="F99" s="122"/>
      <c r="G99" s="124"/>
      <c r="H99" s="124"/>
      <c r="I99" s="124"/>
      <c r="J99" s="124"/>
      <c r="K99" s="52">
        <f t="shared" si="1"/>
        <v>0</v>
      </c>
      <c r="L99" s="122"/>
      <c r="M99" s="122"/>
      <c r="N99" s="122"/>
    </row>
    <row r="100" spans="1:14" x14ac:dyDescent="0.35">
      <c r="A100" s="50">
        <v>98</v>
      </c>
      <c r="B100" s="122"/>
      <c r="C100" s="51" t="str">
        <f>IF(ISNA(VLOOKUP(B100,Lists!A$2:B$38,2,FALSE)),"",VLOOKUP(B100,Lists!A$2:B$38,2,FALSE))</f>
        <v/>
      </c>
      <c r="D100" s="122"/>
      <c r="E100" s="124"/>
      <c r="F100" s="122"/>
      <c r="G100" s="124"/>
      <c r="H100" s="124"/>
      <c r="I100" s="124"/>
      <c r="J100" s="124"/>
      <c r="K100" s="52">
        <f t="shared" si="1"/>
        <v>0</v>
      </c>
      <c r="L100" s="122"/>
      <c r="M100" s="122"/>
      <c r="N100" s="122"/>
    </row>
    <row r="101" spans="1:14" x14ac:dyDescent="0.35">
      <c r="A101" s="50">
        <v>99</v>
      </c>
      <c r="B101" s="122"/>
      <c r="C101" s="51" t="str">
        <f>IF(ISNA(VLOOKUP(B101,Lists!A$2:B$38,2,FALSE)),"",VLOOKUP(B101,Lists!A$2:B$38,2,FALSE))</f>
        <v/>
      </c>
      <c r="D101" s="122"/>
      <c r="E101" s="124"/>
      <c r="F101" s="122"/>
      <c r="G101" s="124"/>
      <c r="H101" s="124"/>
      <c r="I101" s="124"/>
      <c r="J101" s="124"/>
      <c r="K101" s="52">
        <f t="shared" si="1"/>
        <v>0</v>
      </c>
      <c r="L101" s="122"/>
      <c r="M101" s="122"/>
      <c r="N101" s="122"/>
    </row>
    <row r="102" spans="1:14" x14ac:dyDescent="0.35">
      <c r="A102" s="50">
        <v>100</v>
      </c>
      <c r="B102" s="122"/>
      <c r="C102" s="51" t="str">
        <f>IF(ISNA(VLOOKUP(B102,Lists!A$2:B$38,2,FALSE)),"",VLOOKUP(B102,Lists!A$2:B$38,2,FALSE))</f>
        <v/>
      </c>
      <c r="D102" s="122"/>
      <c r="E102" s="124"/>
      <c r="F102" s="122"/>
      <c r="G102" s="124"/>
      <c r="H102" s="124"/>
      <c r="I102" s="124"/>
      <c r="J102" s="124"/>
      <c r="K102" s="52">
        <f t="shared" si="1"/>
        <v>0</v>
      </c>
      <c r="L102" s="122"/>
      <c r="M102" s="122"/>
      <c r="N102" s="122"/>
    </row>
    <row r="103" spans="1:14" x14ac:dyDescent="0.35">
      <c r="A103" s="50">
        <v>101</v>
      </c>
      <c r="B103" s="122"/>
      <c r="C103" s="51" t="str">
        <f>IF(ISNA(VLOOKUP(B103,Lists!A$2:B$38,2,FALSE)),"",VLOOKUP(B103,Lists!A$2:B$38,2,FALSE))</f>
        <v/>
      </c>
      <c r="D103" s="122"/>
      <c r="E103" s="124"/>
      <c r="F103" s="122"/>
      <c r="G103" s="124"/>
      <c r="H103" s="124"/>
      <c r="I103" s="124"/>
      <c r="J103" s="124"/>
      <c r="K103" s="52">
        <f t="shared" si="1"/>
        <v>0</v>
      </c>
      <c r="L103" s="122"/>
      <c r="M103" s="122"/>
      <c r="N103" s="122"/>
    </row>
    <row r="104" spans="1:14" x14ac:dyDescent="0.35">
      <c r="A104" s="50">
        <v>102</v>
      </c>
      <c r="B104" s="122"/>
      <c r="C104" s="51" t="str">
        <f>IF(ISNA(VLOOKUP(B104,Lists!A$2:B$38,2,FALSE)),"",VLOOKUP(B104,Lists!A$2:B$38,2,FALSE))</f>
        <v/>
      </c>
      <c r="D104" s="122"/>
      <c r="E104" s="124"/>
      <c r="F104" s="122"/>
      <c r="G104" s="124"/>
      <c r="H104" s="124"/>
      <c r="I104" s="124"/>
      <c r="J104" s="124"/>
      <c r="K104" s="52">
        <f t="shared" si="1"/>
        <v>0</v>
      </c>
      <c r="L104" s="122"/>
      <c r="M104" s="122"/>
      <c r="N104" s="122"/>
    </row>
    <row r="105" spans="1:14" x14ac:dyDescent="0.35">
      <c r="A105" s="50">
        <v>103</v>
      </c>
      <c r="B105" s="122"/>
      <c r="C105" s="51" t="str">
        <f>IF(ISNA(VLOOKUP(B105,Lists!A$2:B$38,2,FALSE)),"",VLOOKUP(B105,Lists!A$2:B$38,2,FALSE))</f>
        <v/>
      </c>
      <c r="D105" s="122"/>
      <c r="E105" s="124"/>
      <c r="F105" s="122"/>
      <c r="G105" s="124"/>
      <c r="H105" s="124"/>
      <c r="I105" s="124"/>
      <c r="J105" s="124"/>
      <c r="K105" s="52">
        <f t="shared" si="1"/>
        <v>0</v>
      </c>
      <c r="L105" s="122"/>
      <c r="M105" s="122"/>
      <c r="N105" s="122"/>
    </row>
    <row r="106" spans="1:14" x14ac:dyDescent="0.35">
      <c r="A106" s="50">
        <v>104</v>
      </c>
      <c r="B106" s="122"/>
      <c r="C106" s="51" t="str">
        <f>IF(ISNA(VLOOKUP(B106,Lists!A$2:B$38,2,FALSE)),"",VLOOKUP(B106,Lists!A$2:B$38,2,FALSE))</f>
        <v/>
      </c>
      <c r="D106" s="122"/>
      <c r="E106" s="124"/>
      <c r="F106" s="122"/>
      <c r="G106" s="124"/>
      <c r="H106" s="124"/>
      <c r="I106" s="124"/>
      <c r="J106" s="124"/>
      <c r="K106" s="52">
        <f t="shared" si="1"/>
        <v>0</v>
      </c>
      <c r="L106" s="122"/>
      <c r="M106" s="122"/>
      <c r="N106" s="122"/>
    </row>
    <row r="107" spans="1:14" x14ac:dyDescent="0.35">
      <c r="A107" s="50">
        <v>105</v>
      </c>
      <c r="B107" s="122"/>
      <c r="C107" s="51" t="str">
        <f>IF(ISNA(VLOOKUP(B107,Lists!A$2:B$38,2,FALSE)),"",VLOOKUP(B107,Lists!A$2:B$38,2,FALSE))</f>
        <v/>
      </c>
      <c r="D107" s="122"/>
      <c r="E107" s="124"/>
      <c r="F107" s="122"/>
      <c r="G107" s="124"/>
      <c r="H107" s="124"/>
      <c r="I107" s="124"/>
      <c r="J107" s="124"/>
      <c r="K107" s="52">
        <f t="shared" si="1"/>
        <v>0</v>
      </c>
      <c r="L107" s="122"/>
      <c r="M107" s="122"/>
      <c r="N107" s="122"/>
    </row>
    <row r="108" spans="1:14" x14ac:dyDescent="0.35">
      <c r="A108" s="50">
        <v>106</v>
      </c>
      <c r="B108" s="122"/>
      <c r="C108" s="51" t="str">
        <f>IF(ISNA(VLOOKUP(B108,Lists!A$2:B$38,2,FALSE)),"",VLOOKUP(B108,Lists!A$2:B$38,2,FALSE))</f>
        <v/>
      </c>
      <c r="D108" s="122"/>
      <c r="E108" s="124"/>
      <c r="F108" s="122"/>
      <c r="G108" s="124"/>
      <c r="H108" s="124"/>
      <c r="I108" s="124"/>
      <c r="J108" s="124"/>
      <c r="K108" s="52">
        <f t="shared" si="1"/>
        <v>0</v>
      </c>
      <c r="L108" s="122"/>
      <c r="M108" s="122"/>
      <c r="N108" s="122"/>
    </row>
    <row r="109" spans="1:14" x14ac:dyDescent="0.35">
      <c r="A109" s="50">
        <v>107</v>
      </c>
      <c r="B109" s="122"/>
      <c r="C109" s="51" t="str">
        <f>IF(ISNA(VLOOKUP(B109,Lists!A$2:B$38,2,FALSE)),"",VLOOKUP(B109,Lists!A$2:B$38,2,FALSE))</f>
        <v/>
      </c>
      <c r="D109" s="122"/>
      <c r="E109" s="124"/>
      <c r="F109" s="122"/>
      <c r="G109" s="124"/>
      <c r="H109" s="124"/>
      <c r="I109" s="124"/>
      <c r="J109" s="124"/>
      <c r="K109" s="52">
        <f t="shared" si="1"/>
        <v>0</v>
      </c>
      <c r="L109" s="122"/>
      <c r="M109" s="122"/>
      <c r="N109" s="122"/>
    </row>
    <row r="110" spans="1:14" x14ac:dyDescent="0.35">
      <c r="A110" s="50">
        <v>108</v>
      </c>
      <c r="B110" s="122"/>
      <c r="C110" s="51" t="str">
        <f>IF(ISNA(VLOOKUP(B110,Lists!A$2:B$38,2,FALSE)),"",VLOOKUP(B110,Lists!A$2:B$38,2,FALSE))</f>
        <v/>
      </c>
      <c r="D110" s="122"/>
      <c r="E110" s="124"/>
      <c r="F110" s="122"/>
      <c r="G110" s="124"/>
      <c r="H110" s="124"/>
      <c r="I110" s="124"/>
      <c r="J110" s="124"/>
      <c r="K110" s="52">
        <f t="shared" si="1"/>
        <v>0</v>
      </c>
      <c r="L110" s="122"/>
      <c r="M110" s="122"/>
      <c r="N110" s="122"/>
    </row>
    <row r="111" spans="1:14" x14ac:dyDescent="0.35">
      <c r="A111" s="50">
        <v>109</v>
      </c>
      <c r="B111" s="122"/>
      <c r="C111" s="51" t="str">
        <f>IF(ISNA(VLOOKUP(B111,Lists!A$2:B$38,2,FALSE)),"",VLOOKUP(B111,Lists!A$2:B$38,2,FALSE))</f>
        <v/>
      </c>
      <c r="D111" s="122"/>
      <c r="E111" s="124"/>
      <c r="F111" s="122"/>
      <c r="G111" s="124"/>
      <c r="H111" s="124"/>
      <c r="I111" s="124"/>
      <c r="J111" s="124"/>
      <c r="K111" s="52">
        <f t="shared" si="1"/>
        <v>0</v>
      </c>
      <c r="L111" s="122"/>
      <c r="M111" s="122"/>
      <c r="N111" s="122"/>
    </row>
    <row r="112" spans="1:14" x14ac:dyDescent="0.35">
      <c r="A112" s="50">
        <v>110</v>
      </c>
      <c r="B112" s="122"/>
      <c r="C112" s="51" t="str">
        <f>IF(ISNA(VLOOKUP(B112,Lists!A$2:B$38,2,FALSE)),"",VLOOKUP(B112,Lists!A$2:B$38,2,FALSE))</f>
        <v/>
      </c>
      <c r="D112" s="122"/>
      <c r="E112" s="124"/>
      <c r="F112" s="122"/>
      <c r="G112" s="124"/>
      <c r="H112" s="124"/>
      <c r="I112" s="124"/>
      <c r="J112" s="124"/>
      <c r="K112" s="52">
        <f t="shared" si="1"/>
        <v>0</v>
      </c>
      <c r="L112" s="122"/>
      <c r="M112" s="122"/>
      <c r="N112" s="122"/>
    </row>
    <row r="113" spans="1:14" x14ac:dyDescent="0.35">
      <c r="A113" s="50">
        <v>111</v>
      </c>
      <c r="B113" s="122"/>
      <c r="C113" s="51" t="str">
        <f>IF(ISNA(VLOOKUP(B113,Lists!A$2:B$38,2,FALSE)),"",VLOOKUP(B113,Lists!A$2:B$38,2,FALSE))</f>
        <v/>
      </c>
      <c r="D113" s="122"/>
      <c r="E113" s="124"/>
      <c r="F113" s="122"/>
      <c r="G113" s="124"/>
      <c r="H113" s="124"/>
      <c r="I113" s="124"/>
      <c r="J113" s="124"/>
      <c r="K113" s="52">
        <f t="shared" si="1"/>
        <v>0</v>
      </c>
      <c r="L113" s="122"/>
      <c r="M113" s="122"/>
      <c r="N113" s="122"/>
    </row>
    <row r="114" spans="1:14" x14ac:dyDescent="0.35">
      <c r="A114" s="50">
        <v>112</v>
      </c>
      <c r="B114" s="122"/>
      <c r="C114" s="51" t="str">
        <f>IF(ISNA(VLOOKUP(B114,Lists!A$2:B$38,2,FALSE)),"",VLOOKUP(B114,Lists!A$2:B$38,2,FALSE))</f>
        <v/>
      </c>
      <c r="D114" s="122"/>
      <c r="E114" s="124"/>
      <c r="F114" s="122"/>
      <c r="G114" s="124"/>
      <c r="H114" s="124"/>
      <c r="I114" s="124"/>
      <c r="J114" s="124"/>
      <c r="K114" s="52">
        <f t="shared" si="1"/>
        <v>0</v>
      </c>
      <c r="L114" s="122"/>
      <c r="M114" s="122"/>
      <c r="N114" s="122"/>
    </row>
    <row r="115" spans="1:14" x14ac:dyDescent="0.35">
      <c r="A115" s="50">
        <v>113</v>
      </c>
      <c r="B115" s="122"/>
      <c r="C115" s="51" t="str">
        <f>IF(ISNA(VLOOKUP(B115,Lists!A$2:B$38,2,FALSE)),"",VLOOKUP(B115,Lists!A$2:B$38,2,FALSE))</f>
        <v/>
      </c>
      <c r="D115" s="122"/>
      <c r="E115" s="124"/>
      <c r="F115" s="122"/>
      <c r="G115" s="124"/>
      <c r="H115" s="124"/>
      <c r="I115" s="124"/>
      <c r="J115" s="124"/>
      <c r="K115" s="52">
        <f t="shared" si="1"/>
        <v>0</v>
      </c>
      <c r="L115" s="122"/>
      <c r="M115" s="122"/>
      <c r="N115" s="122"/>
    </row>
    <row r="116" spans="1:14" x14ac:dyDescent="0.35">
      <c r="A116" s="50">
        <v>114</v>
      </c>
      <c r="B116" s="122"/>
      <c r="C116" s="51" t="str">
        <f>IF(ISNA(VLOOKUP(B116,Lists!A$2:B$38,2,FALSE)),"",VLOOKUP(B116,Lists!A$2:B$38,2,FALSE))</f>
        <v/>
      </c>
      <c r="D116" s="122"/>
      <c r="E116" s="124"/>
      <c r="F116" s="122"/>
      <c r="G116" s="124"/>
      <c r="H116" s="124"/>
      <c r="I116" s="124"/>
      <c r="J116" s="124"/>
      <c r="K116" s="52">
        <f t="shared" si="1"/>
        <v>0</v>
      </c>
      <c r="L116" s="122"/>
      <c r="M116" s="122"/>
      <c r="N116" s="122"/>
    </row>
    <row r="117" spans="1:14" x14ac:dyDescent="0.35">
      <c r="A117" s="50">
        <v>115</v>
      </c>
      <c r="B117" s="122"/>
      <c r="C117" s="51" t="str">
        <f>IF(ISNA(VLOOKUP(B117,Lists!A$2:B$38,2,FALSE)),"",VLOOKUP(B117,Lists!A$2:B$38,2,FALSE))</f>
        <v/>
      </c>
      <c r="D117" s="122"/>
      <c r="E117" s="124"/>
      <c r="F117" s="122"/>
      <c r="G117" s="124"/>
      <c r="H117" s="124"/>
      <c r="I117" s="124"/>
      <c r="J117" s="124"/>
      <c r="K117" s="52">
        <f t="shared" si="1"/>
        <v>0</v>
      </c>
      <c r="L117" s="122"/>
      <c r="M117" s="122"/>
      <c r="N117" s="122"/>
    </row>
    <row r="118" spans="1:14" x14ac:dyDescent="0.35">
      <c r="A118" s="50">
        <v>116</v>
      </c>
      <c r="B118" s="122"/>
      <c r="C118" s="51" t="str">
        <f>IF(ISNA(VLOOKUP(B118,Lists!A$2:B$38,2,FALSE)),"",VLOOKUP(B118,Lists!A$2:B$38,2,FALSE))</f>
        <v/>
      </c>
      <c r="D118" s="122"/>
      <c r="E118" s="124"/>
      <c r="F118" s="122"/>
      <c r="G118" s="124"/>
      <c r="H118" s="124"/>
      <c r="I118" s="124"/>
      <c r="J118" s="124"/>
      <c r="K118" s="52">
        <f t="shared" si="1"/>
        <v>0</v>
      </c>
      <c r="L118" s="122"/>
      <c r="M118" s="122"/>
      <c r="N118" s="122"/>
    </row>
    <row r="119" spans="1:14" x14ac:dyDescent="0.35">
      <c r="A119" s="50">
        <v>117</v>
      </c>
      <c r="B119" s="122"/>
      <c r="C119" s="51" t="str">
        <f>IF(ISNA(VLOOKUP(B119,Lists!A$2:B$38,2,FALSE)),"",VLOOKUP(B119,Lists!A$2:B$38,2,FALSE))</f>
        <v/>
      </c>
      <c r="D119" s="122"/>
      <c r="E119" s="124"/>
      <c r="F119" s="122"/>
      <c r="G119" s="124"/>
      <c r="H119" s="124"/>
      <c r="I119" s="124"/>
      <c r="J119" s="124"/>
      <c r="K119" s="52">
        <f t="shared" si="1"/>
        <v>0</v>
      </c>
      <c r="L119" s="122"/>
      <c r="M119" s="122"/>
      <c r="N119" s="122"/>
    </row>
    <row r="120" spans="1:14" x14ac:dyDescent="0.35">
      <c r="A120" s="50">
        <v>118</v>
      </c>
      <c r="B120" s="122"/>
      <c r="C120" s="51" t="str">
        <f>IF(ISNA(VLOOKUP(B120,Lists!A$2:B$38,2,FALSE)),"",VLOOKUP(B120,Lists!A$2:B$38,2,FALSE))</f>
        <v/>
      </c>
      <c r="D120" s="122"/>
      <c r="E120" s="124"/>
      <c r="F120" s="122"/>
      <c r="G120" s="124"/>
      <c r="H120" s="124"/>
      <c r="I120" s="124"/>
      <c r="J120" s="124"/>
      <c r="K120" s="52">
        <f t="shared" si="1"/>
        <v>0</v>
      </c>
      <c r="L120" s="122"/>
      <c r="M120" s="122"/>
      <c r="N120" s="122"/>
    </row>
    <row r="121" spans="1:14" x14ac:dyDescent="0.35">
      <c r="A121" s="50">
        <v>119</v>
      </c>
      <c r="B121" s="122"/>
      <c r="C121" s="51" t="str">
        <f>IF(ISNA(VLOOKUP(B121,Lists!A$2:B$38,2,FALSE)),"",VLOOKUP(B121,Lists!A$2:B$38,2,FALSE))</f>
        <v/>
      </c>
      <c r="D121" s="122"/>
      <c r="E121" s="124"/>
      <c r="F121" s="122"/>
      <c r="G121" s="124"/>
      <c r="H121" s="124"/>
      <c r="I121" s="124"/>
      <c r="J121" s="124"/>
      <c r="K121" s="52">
        <f t="shared" si="1"/>
        <v>0</v>
      </c>
      <c r="L121" s="122"/>
      <c r="M121" s="122"/>
      <c r="N121" s="122"/>
    </row>
    <row r="122" spans="1:14" x14ac:dyDescent="0.35">
      <c r="A122" s="50">
        <v>120</v>
      </c>
      <c r="B122" s="122"/>
      <c r="C122" s="51" t="str">
        <f>IF(ISNA(VLOOKUP(B122,Lists!A$2:B$38,2,FALSE)),"",VLOOKUP(B122,Lists!A$2:B$38,2,FALSE))</f>
        <v/>
      </c>
      <c r="D122" s="122"/>
      <c r="E122" s="124"/>
      <c r="F122" s="122"/>
      <c r="G122" s="124"/>
      <c r="H122" s="124"/>
      <c r="I122" s="124"/>
      <c r="J122" s="124"/>
      <c r="K122" s="52">
        <f t="shared" si="1"/>
        <v>0</v>
      </c>
      <c r="L122" s="122"/>
      <c r="M122" s="122"/>
      <c r="N122" s="122"/>
    </row>
    <row r="123" spans="1:14" x14ac:dyDescent="0.35">
      <c r="A123" s="50">
        <v>121</v>
      </c>
      <c r="B123" s="122"/>
      <c r="C123" s="51" t="str">
        <f>IF(ISNA(VLOOKUP(B123,Lists!A$2:B$38,2,FALSE)),"",VLOOKUP(B123,Lists!A$2:B$38,2,FALSE))</f>
        <v/>
      </c>
      <c r="D123" s="122"/>
      <c r="E123" s="124"/>
      <c r="F123" s="122"/>
      <c r="G123" s="124"/>
      <c r="H123" s="124"/>
      <c r="I123" s="124"/>
      <c r="J123" s="124"/>
      <c r="K123" s="52">
        <f t="shared" si="1"/>
        <v>0</v>
      </c>
      <c r="L123" s="122"/>
      <c r="M123" s="122"/>
      <c r="N123" s="122"/>
    </row>
    <row r="124" spans="1:14" x14ac:dyDescent="0.35">
      <c r="A124" s="50">
        <v>122</v>
      </c>
      <c r="B124" s="122"/>
      <c r="C124" s="51" t="str">
        <f>IF(ISNA(VLOOKUP(B124,Lists!A$2:B$38,2,FALSE)),"",VLOOKUP(B124,Lists!A$2:B$38,2,FALSE))</f>
        <v/>
      </c>
      <c r="D124" s="122"/>
      <c r="E124" s="124"/>
      <c r="F124" s="122"/>
      <c r="G124" s="124"/>
      <c r="H124" s="124"/>
      <c r="I124" s="124"/>
      <c r="J124" s="124"/>
      <c r="K124" s="52">
        <f t="shared" si="1"/>
        <v>0</v>
      </c>
      <c r="L124" s="122"/>
      <c r="M124" s="122"/>
      <c r="N124" s="122"/>
    </row>
    <row r="125" spans="1:14" x14ac:dyDescent="0.35">
      <c r="A125" s="50">
        <v>123</v>
      </c>
      <c r="B125" s="122"/>
      <c r="C125" s="51" t="str">
        <f>IF(ISNA(VLOOKUP(B125,Lists!A$2:B$38,2,FALSE)),"",VLOOKUP(B125,Lists!A$2:B$38,2,FALSE))</f>
        <v/>
      </c>
      <c r="D125" s="122"/>
      <c r="E125" s="124"/>
      <c r="F125" s="122"/>
      <c r="G125" s="124"/>
      <c r="H125" s="124"/>
      <c r="I125" s="124"/>
      <c r="J125" s="124"/>
      <c r="K125" s="52">
        <f t="shared" si="1"/>
        <v>0</v>
      </c>
      <c r="L125" s="122"/>
      <c r="M125" s="122"/>
      <c r="N125" s="122"/>
    </row>
    <row r="126" spans="1:14" x14ac:dyDescent="0.35">
      <c r="A126" s="50">
        <v>124</v>
      </c>
      <c r="B126" s="122"/>
      <c r="C126" s="51" t="str">
        <f>IF(ISNA(VLOOKUP(B126,Lists!A$2:B$38,2,FALSE)),"",VLOOKUP(B126,Lists!A$2:B$38,2,FALSE))</f>
        <v/>
      </c>
      <c r="D126" s="122"/>
      <c r="E126" s="124"/>
      <c r="F126" s="122"/>
      <c r="G126" s="124"/>
      <c r="H126" s="124"/>
      <c r="I126" s="124"/>
      <c r="J126" s="124"/>
      <c r="K126" s="52">
        <f t="shared" si="1"/>
        <v>0</v>
      </c>
      <c r="L126" s="122"/>
      <c r="M126" s="122"/>
      <c r="N126" s="122"/>
    </row>
    <row r="127" spans="1:14" x14ac:dyDescent="0.35">
      <c r="A127" s="50">
        <v>125</v>
      </c>
      <c r="B127" s="122"/>
      <c r="C127" s="51" t="str">
        <f>IF(ISNA(VLOOKUP(B127,Lists!A$2:B$38,2,FALSE)),"",VLOOKUP(B127,Lists!A$2:B$38,2,FALSE))</f>
        <v/>
      </c>
      <c r="D127" s="122"/>
      <c r="E127" s="124"/>
      <c r="F127" s="122"/>
      <c r="G127" s="124"/>
      <c r="H127" s="124"/>
      <c r="I127" s="124"/>
      <c r="J127" s="124"/>
      <c r="K127" s="52">
        <f t="shared" si="1"/>
        <v>0</v>
      </c>
      <c r="L127" s="122"/>
      <c r="M127" s="122"/>
      <c r="N127" s="122"/>
    </row>
    <row r="128" spans="1:14" x14ac:dyDescent="0.35">
      <c r="A128" s="50">
        <v>126</v>
      </c>
      <c r="B128" s="122"/>
      <c r="C128" s="51" t="str">
        <f>IF(ISNA(VLOOKUP(B128,Lists!A$2:B$38,2,FALSE)),"",VLOOKUP(B128,Lists!A$2:B$38,2,FALSE))</f>
        <v/>
      </c>
      <c r="D128" s="122"/>
      <c r="E128" s="124"/>
      <c r="F128" s="122"/>
      <c r="G128" s="124"/>
      <c r="H128" s="124"/>
      <c r="I128" s="124"/>
      <c r="J128" s="124"/>
      <c r="K128" s="52">
        <f t="shared" si="1"/>
        <v>0</v>
      </c>
      <c r="L128" s="122"/>
      <c r="M128" s="122"/>
      <c r="N128" s="122"/>
    </row>
    <row r="129" spans="1:14" x14ac:dyDescent="0.35">
      <c r="A129" s="50">
        <v>127</v>
      </c>
      <c r="B129" s="122"/>
      <c r="C129" s="51" t="str">
        <f>IF(ISNA(VLOOKUP(B129,Lists!A$2:B$38,2,FALSE)),"",VLOOKUP(B129,Lists!A$2:B$38,2,FALSE))</f>
        <v/>
      </c>
      <c r="D129" s="122"/>
      <c r="E129" s="124"/>
      <c r="F129" s="122"/>
      <c r="G129" s="124"/>
      <c r="H129" s="124"/>
      <c r="I129" s="124"/>
      <c r="J129" s="124"/>
      <c r="K129" s="52">
        <f t="shared" si="1"/>
        <v>0</v>
      </c>
      <c r="L129" s="122"/>
      <c r="M129" s="122"/>
      <c r="N129" s="122"/>
    </row>
    <row r="130" spans="1:14" x14ac:dyDescent="0.35">
      <c r="A130" s="50">
        <v>128</v>
      </c>
      <c r="B130" s="122"/>
      <c r="C130" s="51" t="str">
        <f>IF(ISNA(VLOOKUP(B130,Lists!A$2:B$38,2,FALSE)),"",VLOOKUP(B130,Lists!A$2:B$38,2,FALSE))</f>
        <v/>
      </c>
      <c r="D130" s="122"/>
      <c r="E130" s="124"/>
      <c r="F130" s="122"/>
      <c r="G130" s="124"/>
      <c r="H130" s="124"/>
      <c r="I130" s="124"/>
      <c r="J130" s="124"/>
      <c r="K130" s="52">
        <f t="shared" si="1"/>
        <v>0</v>
      </c>
      <c r="L130" s="122"/>
      <c r="M130" s="122"/>
      <c r="N130" s="122"/>
    </row>
    <row r="131" spans="1:14" x14ac:dyDescent="0.35">
      <c r="A131" s="50">
        <v>129</v>
      </c>
      <c r="B131" s="122"/>
      <c r="C131" s="51" t="str">
        <f>IF(ISNA(VLOOKUP(B131,Lists!A$2:B$38,2,FALSE)),"",VLOOKUP(B131,Lists!A$2:B$38,2,FALSE))</f>
        <v/>
      </c>
      <c r="D131" s="122"/>
      <c r="E131" s="124"/>
      <c r="F131" s="122"/>
      <c r="G131" s="124"/>
      <c r="H131" s="124"/>
      <c r="I131" s="124"/>
      <c r="J131" s="124"/>
      <c r="K131" s="52">
        <f t="shared" si="1"/>
        <v>0</v>
      </c>
      <c r="L131" s="122"/>
      <c r="M131" s="122"/>
      <c r="N131" s="122"/>
    </row>
    <row r="132" spans="1:14" x14ac:dyDescent="0.35">
      <c r="A132" s="50">
        <v>130</v>
      </c>
      <c r="B132" s="122"/>
      <c r="C132" s="51" t="str">
        <f>IF(ISNA(VLOOKUP(B132,Lists!A$2:B$38,2,FALSE)),"",VLOOKUP(B132,Lists!A$2:B$38,2,FALSE))</f>
        <v/>
      </c>
      <c r="D132" s="122"/>
      <c r="E132" s="124"/>
      <c r="F132" s="122"/>
      <c r="G132" s="124"/>
      <c r="H132" s="124"/>
      <c r="I132" s="124"/>
      <c r="J132" s="124"/>
      <c r="K132" s="52">
        <f t="shared" ref="K132:K195" si="2">G132*(H132/1000)*(I132/1000)*(J132/1000)</f>
        <v>0</v>
      </c>
      <c r="L132" s="122"/>
      <c r="M132" s="122"/>
      <c r="N132" s="122"/>
    </row>
    <row r="133" spans="1:14" x14ac:dyDescent="0.35">
      <c r="A133" s="50">
        <v>131</v>
      </c>
      <c r="B133" s="122"/>
      <c r="C133" s="51" t="str">
        <f>IF(ISNA(VLOOKUP(B133,Lists!A$2:B$38,2,FALSE)),"",VLOOKUP(B133,Lists!A$2:B$38,2,FALSE))</f>
        <v/>
      </c>
      <c r="D133" s="122"/>
      <c r="E133" s="124"/>
      <c r="F133" s="122"/>
      <c r="G133" s="124"/>
      <c r="H133" s="124"/>
      <c r="I133" s="124"/>
      <c r="J133" s="124"/>
      <c r="K133" s="52">
        <f t="shared" si="2"/>
        <v>0</v>
      </c>
      <c r="L133" s="122"/>
      <c r="M133" s="122"/>
      <c r="N133" s="122"/>
    </row>
    <row r="134" spans="1:14" x14ac:dyDescent="0.35">
      <c r="A134" s="50">
        <v>132</v>
      </c>
      <c r="B134" s="122"/>
      <c r="C134" s="51" t="str">
        <f>IF(ISNA(VLOOKUP(B134,Lists!A$2:B$38,2,FALSE)),"",VLOOKUP(B134,Lists!A$2:B$38,2,FALSE))</f>
        <v/>
      </c>
      <c r="D134" s="122"/>
      <c r="E134" s="124"/>
      <c r="F134" s="122"/>
      <c r="G134" s="124"/>
      <c r="H134" s="124"/>
      <c r="I134" s="124"/>
      <c r="J134" s="124"/>
      <c r="K134" s="52">
        <f t="shared" si="2"/>
        <v>0</v>
      </c>
      <c r="L134" s="122"/>
      <c r="M134" s="122"/>
      <c r="N134" s="122"/>
    </row>
    <row r="135" spans="1:14" x14ac:dyDescent="0.35">
      <c r="A135" s="50">
        <v>133</v>
      </c>
      <c r="B135" s="122"/>
      <c r="C135" s="51" t="str">
        <f>IF(ISNA(VLOOKUP(B135,Lists!A$2:B$38,2,FALSE)),"",VLOOKUP(B135,Lists!A$2:B$38,2,FALSE))</f>
        <v/>
      </c>
      <c r="D135" s="122"/>
      <c r="E135" s="124"/>
      <c r="F135" s="122"/>
      <c r="G135" s="124"/>
      <c r="H135" s="124"/>
      <c r="I135" s="124"/>
      <c r="J135" s="124"/>
      <c r="K135" s="52">
        <f t="shared" si="2"/>
        <v>0</v>
      </c>
      <c r="L135" s="122"/>
      <c r="M135" s="122"/>
      <c r="N135" s="122"/>
    </row>
    <row r="136" spans="1:14" x14ac:dyDescent="0.35">
      <c r="A136" s="50">
        <v>134</v>
      </c>
      <c r="B136" s="122"/>
      <c r="C136" s="51" t="str">
        <f>IF(ISNA(VLOOKUP(B136,Lists!A$2:B$38,2,FALSE)),"",VLOOKUP(B136,Lists!A$2:B$38,2,FALSE))</f>
        <v/>
      </c>
      <c r="D136" s="122"/>
      <c r="E136" s="124"/>
      <c r="F136" s="122"/>
      <c r="G136" s="124"/>
      <c r="H136" s="124"/>
      <c r="I136" s="124"/>
      <c r="J136" s="124"/>
      <c r="K136" s="52">
        <f t="shared" si="2"/>
        <v>0</v>
      </c>
      <c r="L136" s="122"/>
      <c r="M136" s="122"/>
      <c r="N136" s="122"/>
    </row>
    <row r="137" spans="1:14" x14ac:dyDescent="0.35">
      <c r="A137" s="50">
        <v>135</v>
      </c>
      <c r="B137" s="122"/>
      <c r="C137" s="51" t="str">
        <f>IF(ISNA(VLOOKUP(B137,Lists!A$2:B$38,2,FALSE)),"",VLOOKUP(B137,Lists!A$2:B$38,2,FALSE))</f>
        <v/>
      </c>
      <c r="D137" s="122"/>
      <c r="E137" s="124"/>
      <c r="F137" s="122"/>
      <c r="G137" s="124"/>
      <c r="H137" s="124"/>
      <c r="I137" s="124"/>
      <c r="J137" s="124"/>
      <c r="K137" s="52">
        <f t="shared" si="2"/>
        <v>0</v>
      </c>
      <c r="L137" s="122"/>
      <c r="M137" s="122"/>
      <c r="N137" s="122"/>
    </row>
    <row r="138" spans="1:14" x14ac:dyDescent="0.35">
      <c r="A138" s="50">
        <v>136</v>
      </c>
      <c r="B138" s="122"/>
      <c r="C138" s="51" t="str">
        <f>IF(ISNA(VLOOKUP(B138,Lists!A$2:B$38,2,FALSE)),"",VLOOKUP(B138,Lists!A$2:B$38,2,FALSE))</f>
        <v/>
      </c>
      <c r="D138" s="122"/>
      <c r="E138" s="124"/>
      <c r="F138" s="122"/>
      <c r="G138" s="124"/>
      <c r="H138" s="124"/>
      <c r="I138" s="124"/>
      <c r="J138" s="124"/>
      <c r="K138" s="52">
        <f t="shared" si="2"/>
        <v>0</v>
      </c>
      <c r="L138" s="122"/>
      <c r="M138" s="122"/>
      <c r="N138" s="122"/>
    </row>
    <row r="139" spans="1:14" x14ac:dyDescent="0.35">
      <c r="A139" s="50">
        <v>137</v>
      </c>
      <c r="B139" s="122"/>
      <c r="C139" s="51" t="str">
        <f>IF(ISNA(VLOOKUP(B139,Lists!A$2:B$38,2,FALSE)),"",VLOOKUP(B139,Lists!A$2:B$38,2,FALSE))</f>
        <v/>
      </c>
      <c r="D139" s="122"/>
      <c r="E139" s="124"/>
      <c r="F139" s="122"/>
      <c r="G139" s="124"/>
      <c r="H139" s="124"/>
      <c r="I139" s="124"/>
      <c r="J139" s="124"/>
      <c r="K139" s="52">
        <f t="shared" si="2"/>
        <v>0</v>
      </c>
      <c r="L139" s="122"/>
      <c r="M139" s="122"/>
      <c r="N139" s="122"/>
    </row>
    <row r="140" spans="1:14" x14ac:dyDescent="0.35">
      <c r="A140" s="50">
        <v>138</v>
      </c>
      <c r="B140" s="122"/>
      <c r="C140" s="51" t="str">
        <f>IF(ISNA(VLOOKUP(B140,Lists!A$2:B$38,2,FALSE)),"",VLOOKUP(B140,Lists!A$2:B$38,2,FALSE))</f>
        <v/>
      </c>
      <c r="D140" s="122"/>
      <c r="E140" s="124"/>
      <c r="F140" s="122"/>
      <c r="G140" s="124"/>
      <c r="H140" s="124"/>
      <c r="I140" s="124"/>
      <c r="J140" s="124"/>
      <c r="K140" s="52">
        <f t="shared" si="2"/>
        <v>0</v>
      </c>
      <c r="L140" s="122"/>
      <c r="M140" s="122"/>
      <c r="N140" s="122"/>
    </row>
    <row r="141" spans="1:14" x14ac:dyDescent="0.35">
      <c r="A141" s="50">
        <v>139</v>
      </c>
      <c r="B141" s="122"/>
      <c r="C141" s="51" t="str">
        <f>IF(ISNA(VLOOKUP(B141,Lists!A$2:B$38,2,FALSE)),"",VLOOKUP(B141,Lists!A$2:B$38,2,FALSE))</f>
        <v/>
      </c>
      <c r="D141" s="122"/>
      <c r="E141" s="124"/>
      <c r="F141" s="122"/>
      <c r="G141" s="124"/>
      <c r="H141" s="124"/>
      <c r="I141" s="124"/>
      <c r="J141" s="124"/>
      <c r="K141" s="52">
        <f t="shared" si="2"/>
        <v>0</v>
      </c>
      <c r="L141" s="122"/>
      <c r="M141" s="122"/>
      <c r="N141" s="122"/>
    </row>
    <row r="142" spans="1:14" x14ac:dyDescent="0.35">
      <c r="A142" s="50">
        <v>140</v>
      </c>
      <c r="B142" s="122"/>
      <c r="C142" s="51" t="str">
        <f>IF(ISNA(VLOOKUP(B142,Lists!A$2:B$38,2,FALSE)),"",VLOOKUP(B142,Lists!A$2:B$38,2,FALSE))</f>
        <v/>
      </c>
      <c r="D142" s="122"/>
      <c r="E142" s="124"/>
      <c r="F142" s="122"/>
      <c r="G142" s="124"/>
      <c r="H142" s="124"/>
      <c r="I142" s="124"/>
      <c r="J142" s="124"/>
      <c r="K142" s="52">
        <f t="shared" si="2"/>
        <v>0</v>
      </c>
      <c r="L142" s="122"/>
      <c r="M142" s="122"/>
      <c r="N142" s="122"/>
    </row>
    <row r="143" spans="1:14" x14ac:dyDescent="0.35">
      <c r="A143" s="50">
        <v>141</v>
      </c>
      <c r="B143" s="122"/>
      <c r="C143" s="51" t="str">
        <f>IF(ISNA(VLOOKUP(B143,Lists!A$2:B$38,2,FALSE)),"",VLOOKUP(B143,Lists!A$2:B$38,2,FALSE))</f>
        <v/>
      </c>
      <c r="D143" s="122"/>
      <c r="E143" s="124"/>
      <c r="F143" s="122"/>
      <c r="G143" s="124"/>
      <c r="H143" s="124"/>
      <c r="I143" s="124"/>
      <c r="J143" s="124"/>
      <c r="K143" s="52">
        <f t="shared" si="2"/>
        <v>0</v>
      </c>
      <c r="L143" s="122"/>
      <c r="M143" s="122"/>
      <c r="N143" s="122"/>
    </row>
    <row r="144" spans="1:14" x14ac:dyDescent="0.35">
      <c r="A144" s="50">
        <v>142</v>
      </c>
      <c r="B144" s="122"/>
      <c r="C144" s="51" t="str">
        <f>IF(ISNA(VLOOKUP(B144,Lists!A$2:B$38,2,FALSE)),"",VLOOKUP(B144,Lists!A$2:B$38,2,FALSE))</f>
        <v/>
      </c>
      <c r="D144" s="122"/>
      <c r="E144" s="124"/>
      <c r="F144" s="122"/>
      <c r="G144" s="124"/>
      <c r="H144" s="124"/>
      <c r="I144" s="124"/>
      <c r="J144" s="124"/>
      <c r="K144" s="52">
        <f t="shared" si="2"/>
        <v>0</v>
      </c>
      <c r="L144" s="122"/>
      <c r="M144" s="122"/>
      <c r="N144" s="122"/>
    </row>
    <row r="145" spans="1:14" x14ac:dyDescent="0.35">
      <c r="A145" s="50">
        <v>143</v>
      </c>
      <c r="B145" s="122"/>
      <c r="C145" s="51" t="str">
        <f>IF(ISNA(VLOOKUP(B145,Lists!A$2:B$38,2,FALSE)),"",VLOOKUP(B145,Lists!A$2:B$38,2,FALSE))</f>
        <v/>
      </c>
      <c r="D145" s="122"/>
      <c r="E145" s="124"/>
      <c r="F145" s="122"/>
      <c r="G145" s="124"/>
      <c r="H145" s="124"/>
      <c r="I145" s="124"/>
      <c r="J145" s="124"/>
      <c r="K145" s="52">
        <f t="shared" si="2"/>
        <v>0</v>
      </c>
      <c r="L145" s="122"/>
      <c r="M145" s="122"/>
      <c r="N145" s="122"/>
    </row>
    <row r="146" spans="1:14" x14ac:dyDescent="0.35">
      <c r="A146" s="50">
        <v>144</v>
      </c>
      <c r="B146" s="122"/>
      <c r="C146" s="51" t="str">
        <f>IF(ISNA(VLOOKUP(B146,Lists!A$2:B$38,2,FALSE)),"",VLOOKUP(B146,Lists!A$2:B$38,2,FALSE))</f>
        <v/>
      </c>
      <c r="D146" s="122"/>
      <c r="E146" s="124"/>
      <c r="F146" s="122"/>
      <c r="G146" s="124"/>
      <c r="H146" s="124"/>
      <c r="I146" s="124"/>
      <c r="J146" s="124"/>
      <c r="K146" s="52">
        <f t="shared" si="2"/>
        <v>0</v>
      </c>
      <c r="L146" s="122"/>
      <c r="M146" s="122"/>
      <c r="N146" s="122"/>
    </row>
    <row r="147" spans="1:14" x14ac:dyDescent="0.35">
      <c r="A147" s="50">
        <v>145</v>
      </c>
      <c r="B147" s="122"/>
      <c r="C147" s="51" t="str">
        <f>IF(ISNA(VLOOKUP(B147,Lists!A$2:B$38,2,FALSE)),"",VLOOKUP(B147,Lists!A$2:B$38,2,FALSE))</f>
        <v/>
      </c>
      <c r="D147" s="122"/>
      <c r="E147" s="124"/>
      <c r="F147" s="122"/>
      <c r="G147" s="124"/>
      <c r="H147" s="124"/>
      <c r="I147" s="124"/>
      <c r="J147" s="124"/>
      <c r="K147" s="52">
        <f t="shared" si="2"/>
        <v>0</v>
      </c>
      <c r="L147" s="122"/>
      <c r="M147" s="122"/>
      <c r="N147" s="122"/>
    </row>
    <row r="148" spans="1:14" x14ac:dyDescent="0.35">
      <c r="A148" s="50">
        <v>146</v>
      </c>
      <c r="B148" s="122"/>
      <c r="C148" s="51" t="str">
        <f>IF(ISNA(VLOOKUP(B148,Lists!A$2:B$38,2,FALSE)),"",VLOOKUP(B148,Lists!A$2:B$38,2,FALSE))</f>
        <v/>
      </c>
      <c r="D148" s="122"/>
      <c r="E148" s="124"/>
      <c r="F148" s="122"/>
      <c r="G148" s="124"/>
      <c r="H148" s="124"/>
      <c r="I148" s="124"/>
      <c r="J148" s="124"/>
      <c r="K148" s="52">
        <f t="shared" si="2"/>
        <v>0</v>
      </c>
      <c r="L148" s="122"/>
      <c r="M148" s="122"/>
      <c r="N148" s="122"/>
    </row>
    <row r="149" spans="1:14" x14ac:dyDescent="0.35">
      <c r="A149" s="50">
        <v>147</v>
      </c>
      <c r="B149" s="122"/>
      <c r="C149" s="51" t="str">
        <f>IF(ISNA(VLOOKUP(B149,Lists!A$2:B$38,2,FALSE)),"",VLOOKUP(B149,Lists!A$2:B$38,2,FALSE))</f>
        <v/>
      </c>
      <c r="D149" s="122"/>
      <c r="E149" s="124"/>
      <c r="F149" s="122"/>
      <c r="G149" s="124"/>
      <c r="H149" s="124"/>
      <c r="I149" s="124"/>
      <c r="J149" s="124"/>
      <c r="K149" s="52">
        <f t="shared" si="2"/>
        <v>0</v>
      </c>
      <c r="L149" s="122"/>
      <c r="M149" s="122"/>
      <c r="N149" s="122"/>
    </row>
    <row r="150" spans="1:14" x14ac:dyDescent="0.35">
      <c r="A150" s="50">
        <v>148</v>
      </c>
      <c r="B150" s="122"/>
      <c r="C150" s="51" t="str">
        <f>IF(ISNA(VLOOKUP(B150,Lists!A$2:B$38,2,FALSE)),"",VLOOKUP(B150,Lists!A$2:B$38,2,FALSE))</f>
        <v/>
      </c>
      <c r="D150" s="122"/>
      <c r="E150" s="124"/>
      <c r="F150" s="122"/>
      <c r="G150" s="124"/>
      <c r="H150" s="124"/>
      <c r="I150" s="124"/>
      <c r="J150" s="124"/>
      <c r="K150" s="52">
        <f t="shared" si="2"/>
        <v>0</v>
      </c>
      <c r="L150" s="122"/>
      <c r="M150" s="122"/>
      <c r="N150" s="122"/>
    </row>
    <row r="151" spans="1:14" x14ac:dyDescent="0.35">
      <c r="A151" s="50">
        <v>149</v>
      </c>
      <c r="B151" s="122"/>
      <c r="C151" s="51" t="str">
        <f>IF(ISNA(VLOOKUP(B151,Lists!A$2:B$38,2,FALSE)),"",VLOOKUP(B151,Lists!A$2:B$38,2,FALSE))</f>
        <v/>
      </c>
      <c r="D151" s="122"/>
      <c r="E151" s="124"/>
      <c r="F151" s="122"/>
      <c r="G151" s="124"/>
      <c r="H151" s="124"/>
      <c r="I151" s="124"/>
      <c r="J151" s="124"/>
      <c r="K151" s="52">
        <f t="shared" si="2"/>
        <v>0</v>
      </c>
      <c r="L151" s="122"/>
      <c r="M151" s="122"/>
      <c r="N151" s="122"/>
    </row>
    <row r="152" spans="1:14" x14ac:dyDescent="0.35">
      <c r="A152" s="50">
        <v>150</v>
      </c>
      <c r="B152" s="122"/>
      <c r="C152" s="51" t="str">
        <f>IF(ISNA(VLOOKUP(B152,Lists!A$2:B$38,2,FALSE)),"",VLOOKUP(B152,Lists!A$2:B$38,2,FALSE))</f>
        <v/>
      </c>
      <c r="D152" s="122"/>
      <c r="E152" s="124"/>
      <c r="F152" s="122"/>
      <c r="G152" s="124"/>
      <c r="H152" s="124"/>
      <c r="I152" s="124"/>
      <c r="J152" s="124"/>
      <c r="K152" s="52">
        <f t="shared" si="2"/>
        <v>0</v>
      </c>
      <c r="L152" s="122"/>
      <c r="M152" s="122"/>
      <c r="N152" s="122"/>
    </row>
    <row r="153" spans="1:14" x14ac:dyDescent="0.35">
      <c r="A153" s="50">
        <v>151</v>
      </c>
      <c r="B153" s="122"/>
      <c r="C153" s="51" t="str">
        <f>IF(ISNA(VLOOKUP(B153,Lists!A$2:B$38,2,FALSE)),"",VLOOKUP(B153,Lists!A$2:B$38,2,FALSE))</f>
        <v/>
      </c>
      <c r="D153" s="122"/>
      <c r="E153" s="124"/>
      <c r="F153" s="122"/>
      <c r="G153" s="124"/>
      <c r="H153" s="124"/>
      <c r="I153" s="124"/>
      <c r="J153" s="124"/>
      <c r="K153" s="52">
        <f t="shared" si="2"/>
        <v>0</v>
      </c>
      <c r="L153" s="122"/>
      <c r="M153" s="122"/>
      <c r="N153" s="122"/>
    </row>
    <row r="154" spans="1:14" x14ac:dyDescent="0.35">
      <c r="A154" s="50">
        <v>152</v>
      </c>
      <c r="B154" s="122"/>
      <c r="C154" s="51" t="str">
        <f>IF(ISNA(VLOOKUP(B154,Lists!A$2:B$38,2,FALSE)),"",VLOOKUP(B154,Lists!A$2:B$38,2,FALSE))</f>
        <v/>
      </c>
      <c r="D154" s="122"/>
      <c r="E154" s="124"/>
      <c r="F154" s="122"/>
      <c r="G154" s="124"/>
      <c r="H154" s="124"/>
      <c r="I154" s="124"/>
      <c r="J154" s="124"/>
      <c r="K154" s="52">
        <f t="shared" si="2"/>
        <v>0</v>
      </c>
      <c r="L154" s="122"/>
      <c r="M154" s="122"/>
      <c r="N154" s="122"/>
    </row>
    <row r="155" spans="1:14" x14ac:dyDescent="0.35">
      <c r="A155" s="50">
        <v>153</v>
      </c>
      <c r="B155" s="122"/>
      <c r="C155" s="51" t="str">
        <f>IF(ISNA(VLOOKUP(B155,Lists!A$2:B$38,2,FALSE)),"",VLOOKUP(B155,Lists!A$2:B$38,2,FALSE))</f>
        <v/>
      </c>
      <c r="D155" s="122"/>
      <c r="E155" s="124"/>
      <c r="F155" s="122"/>
      <c r="G155" s="124"/>
      <c r="H155" s="124"/>
      <c r="I155" s="124"/>
      <c r="J155" s="124"/>
      <c r="K155" s="52">
        <f t="shared" si="2"/>
        <v>0</v>
      </c>
      <c r="L155" s="122"/>
      <c r="M155" s="122"/>
      <c r="N155" s="122"/>
    </row>
    <row r="156" spans="1:14" x14ac:dyDescent="0.35">
      <c r="A156" s="50">
        <v>154</v>
      </c>
      <c r="B156" s="122"/>
      <c r="C156" s="51" t="str">
        <f>IF(ISNA(VLOOKUP(B156,Lists!A$2:B$38,2,FALSE)),"",VLOOKUP(B156,Lists!A$2:B$38,2,FALSE))</f>
        <v/>
      </c>
      <c r="D156" s="122"/>
      <c r="E156" s="124"/>
      <c r="F156" s="122"/>
      <c r="G156" s="124"/>
      <c r="H156" s="124"/>
      <c r="I156" s="124"/>
      <c r="J156" s="124"/>
      <c r="K156" s="52">
        <f t="shared" si="2"/>
        <v>0</v>
      </c>
      <c r="L156" s="122"/>
      <c r="M156" s="122"/>
      <c r="N156" s="122"/>
    </row>
    <row r="157" spans="1:14" x14ac:dyDescent="0.35">
      <c r="A157" s="50">
        <v>155</v>
      </c>
      <c r="B157" s="122"/>
      <c r="C157" s="51" t="str">
        <f>IF(ISNA(VLOOKUP(B157,Lists!A$2:B$38,2,FALSE)),"",VLOOKUP(B157,Lists!A$2:B$38,2,FALSE))</f>
        <v/>
      </c>
      <c r="D157" s="122"/>
      <c r="E157" s="124"/>
      <c r="F157" s="122"/>
      <c r="G157" s="124"/>
      <c r="H157" s="124"/>
      <c r="I157" s="124"/>
      <c r="J157" s="124"/>
      <c r="K157" s="52">
        <f t="shared" si="2"/>
        <v>0</v>
      </c>
      <c r="L157" s="122"/>
      <c r="M157" s="122"/>
      <c r="N157" s="122"/>
    </row>
    <row r="158" spans="1:14" x14ac:dyDescent="0.35">
      <c r="A158" s="50">
        <v>156</v>
      </c>
      <c r="B158" s="122"/>
      <c r="C158" s="51" t="str">
        <f>IF(ISNA(VLOOKUP(B158,Lists!A$2:B$38,2,FALSE)),"",VLOOKUP(B158,Lists!A$2:B$38,2,FALSE))</f>
        <v/>
      </c>
      <c r="D158" s="122"/>
      <c r="E158" s="124"/>
      <c r="F158" s="122"/>
      <c r="G158" s="124"/>
      <c r="H158" s="124"/>
      <c r="I158" s="124"/>
      <c r="J158" s="124"/>
      <c r="K158" s="52">
        <f t="shared" si="2"/>
        <v>0</v>
      </c>
      <c r="L158" s="122"/>
      <c r="M158" s="122"/>
      <c r="N158" s="122"/>
    </row>
    <row r="159" spans="1:14" x14ac:dyDescent="0.35">
      <c r="A159" s="50">
        <v>157</v>
      </c>
      <c r="B159" s="122"/>
      <c r="C159" s="51" t="str">
        <f>IF(ISNA(VLOOKUP(B159,Lists!A$2:B$38,2,FALSE)),"",VLOOKUP(B159,Lists!A$2:B$38,2,FALSE))</f>
        <v/>
      </c>
      <c r="D159" s="122"/>
      <c r="E159" s="124"/>
      <c r="F159" s="122"/>
      <c r="G159" s="124"/>
      <c r="H159" s="124"/>
      <c r="I159" s="124"/>
      <c r="J159" s="124"/>
      <c r="K159" s="52">
        <f t="shared" si="2"/>
        <v>0</v>
      </c>
      <c r="L159" s="122"/>
      <c r="M159" s="122"/>
      <c r="N159" s="122"/>
    </row>
    <row r="160" spans="1:14" x14ac:dyDescent="0.35">
      <c r="A160" s="50">
        <v>158</v>
      </c>
      <c r="B160" s="122"/>
      <c r="C160" s="51" t="str">
        <f>IF(ISNA(VLOOKUP(B160,Lists!A$2:B$38,2,FALSE)),"",VLOOKUP(B160,Lists!A$2:B$38,2,FALSE))</f>
        <v/>
      </c>
      <c r="D160" s="122"/>
      <c r="E160" s="124"/>
      <c r="F160" s="122"/>
      <c r="G160" s="124"/>
      <c r="H160" s="124"/>
      <c r="I160" s="124"/>
      <c r="J160" s="124"/>
      <c r="K160" s="52">
        <f t="shared" si="2"/>
        <v>0</v>
      </c>
      <c r="L160" s="122"/>
      <c r="M160" s="122"/>
      <c r="N160" s="122"/>
    </row>
    <row r="161" spans="1:14" x14ac:dyDescent="0.35">
      <c r="A161" s="50">
        <v>159</v>
      </c>
      <c r="B161" s="122"/>
      <c r="C161" s="51" t="str">
        <f>IF(ISNA(VLOOKUP(B161,Lists!A$2:B$38,2,FALSE)),"",VLOOKUP(B161,Lists!A$2:B$38,2,FALSE))</f>
        <v/>
      </c>
      <c r="D161" s="122"/>
      <c r="E161" s="124"/>
      <c r="F161" s="122"/>
      <c r="G161" s="124"/>
      <c r="H161" s="124"/>
      <c r="I161" s="124"/>
      <c r="J161" s="124"/>
      <c r="K161" s="52">
        <f t="shared" si="2"/>
        <v>0</v>
      </c>
      <c r="L161" s="122"/>
      <c r="M161" s="122"/>
      <c r="N161" s="122"/>
    </row>
    <row r="162" spans="1:14" x14ac:dyDescent="0.35">
      <c r="A162" s="50">
        <v>160</v>
      </c>
      <c r="B162" s="122"/>
      <c r="C162" s="51" t="str">
        <f>IF(ISNA(VLOOKUP(B162,Lists!A$2:B$38,2,FALSE)),"",VLOOKUP(B162,Lists!A$2:B$38,2,FALSE))</f>
        <v/>
      </c>
      <c r="D162" s="122"/>
      <c r="E162" s="124"/>
      <c r="F162" s="122"/>
      <c r="G162" s="124"/>
      <c r="H162" s="124"/>
      <c r="I162" s="124"/>
      <c r="J162" s="124"/>
      <c r="K162" s="52">
        <f t="shared" si="2"/>
        <v>0</v>
      </c>
      <c r="L162" s="122"/>
      <c r="M162" s="122"/>
      <c r="N162" s="122"/>
    </row>
    <row r="163" spans="1:14" x14ac:dyDescent="0.35">
      <c r="A163" s="50">
        <v>161</v>
      </c>
      <c r="B163" s="122"/>
      <c r="C163" s="51" t="str">
        <f>IF(ISNA(VLOOKUP(B163,Lists!A$2:B$38,2,FALSE)),"",VLOOKUP(B163,Lists!A$2:B$38,2,FALSE))</f>
        <v/>
      </c>
      <c r="D163" s="122"/>
      <c r="E163" s="124"/>
      <c r="F163" s="122"/>
      <c r="G163" s="124"/>
      <c r="H163" s="124"/>
      <c r="I163" s="124"/>
      <c r="J163" s="124"/>
      <c r="K163" s="52">
        <f t="shared" si="2"/>
        <v>0</v>
      </c>
      <c r="L163" s="122"/>
      <c r="M163" s="122"/>
      <c r="N163" s="122"/>
    </row>
    <row r="164" spans="1:14" x14ac:dyDescent="0.35">
      <c r="A164" s="50">
        <v>162</v>
      </c>
      <c r="B164" s="122"/>
      <c r="C164" s="51" t="str">
        <f>IF(ISNA(VLOOKUP(B164,Lists!A$2:B$38,2,FALSE)),"",VLOOKUP(B164,Lists!A$2:B$38,2,FALSE))</f>
        <v/>
      </c>
      <c r="D164" s="122"/>
      <c r="E164" s="124"/>
      <c r="F164" s="122"/>
      <c r="G164" s="124"/>
      <c r="H164" s="124"/>
      <c r="I164" s="124"/>
      <c r="J164" s="124"/>
      <c r="K164" s="52">
        <f t="shared" si="2"/>
        <v>0</v>
      </c>
      <c r="L164" s="122"/>
      <c r="M164" s="122"/>
      <c r="N164" s="122"/>
    </row>
    <row r="165" spans="1:14" x14ac:dyDescent="0.35">
      <c r="A165" s="50">
        <v>163</v>
      </c>
      <c r="B165" s="122"/>
      <c r="C165" s="51" t="str">
        <f>IF(ISNA(VLOOKUP(B165,Lists!A$2:B$38,2,FALSE)),"",VLOOKUP(B165,Lists!A$2:B$38,2,FALSE))</f>
        <v/>
      </c>
      <c r="D165" s="122"/>
      <c r="E165" s="124"/>
      <c r="F165" s="122"/>
      <c r="G165" s="124"/>
      <c r="H165" s="124"/>
      <c r="I165" s="124"/>
      <c r="J165" s="124"/>
      <c r="K165" s="52">
        <f t="shared" si="2"/>
        <v>0</v>
      </c>
      <c r="L165" s="122"/>
      <c r="M165" s="122"/>
      <c r="N165" s="122"/>
    </row>
    <row r="166" spans="1:14" x14ac:dyDescent="0.35">
      <c r="A166" s="50">
        <v>164</v>
      </c>
      <c r="B166" s="122"/>
      <c r="C166" s="51" t="str">
        <f>IF(ISNA(VLOOKUP(B166,Lists!A$2:B$38,2,FALSE)),"",VLOOKUP(B166,Lists!A$2:B$38,2,FALSE))</f>
        <v/>
      </c>
      <c r="D166" s="122"/>
      <c r="E166" s="124"/>
      <c r="F166" s="122"/>
      <c r="G166" s="124"/>
      <c r="H166" s="124"/>
      <c r="I166" s="124"/>
      <c r="J166" s="124"/>
      <c r="K166" s="52">
        <f t="shared" si="2"/>
        <v>0</v>
      </c>
      <c r="L166" s="122"/>
      <c r="M166" s="122"/>
      <c r="N166" s="122"/>
    </row>
    <row r="167" spans="1:14" x14ac:dyDescent="0.35">
      <c r="A167" s="50">
        <v>165</v>
      </c>
      <c r="B167" s="122"/>
      <c r="C167" s="51" t="str">
        <f>IF(ISNA(VLOOKUP(B167,Lists!A$2:B$38,2,FALSE)),"",VLOOKUP(B167,Lists!A$2:B$38,2,FALSE))</f>
        <v/>
      </c>
      <c r="D167" s="122"/>
      <c r="E167" s="124"/>
      <c r="F167" s="122"/>
      <c r="G167" s="124"/>
      <c r="H167" s="124"/>
      <c r="I167" s="124"/>
      <c r="J167" s="124"/>
      <c r="K167" s="52">
        <f t="shared" si="2"/>
        <v>0</v>
      </c>
      <c r="L167" s="122"/>
      <c r="M167" s="122"/>
      <c r="N167" s="122"/>
    </row>
    <row r="168" spans="1:14" x14ac:dyDescent="0.35">
      <c r="A168" s="50">
        <v>166</v>
      </c>
      <c r="B168" s="122"/>
      <c r="C168" s="51" t="str">
        <f>IF(ISNA(VLOOKUP(B168,Lists!A$2:B$38,2,FALSE)),"",VLOOKUP(B168,Lists!A$2:B$38,2,FALSE))</f>
        <v/>
      </c>
      <c r="D168" s="122"/>
      <c r="E168" s="124"/>
      <c r="F168" s="122"/>
      <c r="G168" s="124"/>
      <c r="H168" s="124"/>
      <c r="I168" s="124"/>
      <c r="J168" s="124"/>
      <c r="K168" s="52">
        <f t="shared" si="2"/>
        <v>0</v>
      </c>
      <c r="L168" s="122"/>
      <c r="M168" s="122"/>
      <c r="N168" s="122"/>
    </row>
    <row r="169" spans="1:14" x14ac:dyDescent="0.35">
      <c r="A169" s="50">
        <v>167</v>
      </c>
      <c r="B169" s="122"/>
      <c r="C169" s="51" t="str">
        <f>IF(ISNA(VLOOKUP(B169,Lists!A$2:B$38,2,FALSE)),"",VLOOKUP(B169,Lists!A$2:B$38,2,FALSE))</f>
        <v/>
      </c>
      <c r="D169" s="122"/>
      <c r="E169" s="124"/>
      <c r="F169" s="122"/>
      <c r="G169" s="124"/>
      <c r="H169" s="124"/>
      <c r="I169" s="124"/>
      <c r="J169" s="124"/>
      <c r="K169" s="52">
        <f t="shared" si="2"/>
        <v>0</v>
      </c>
      <c r="L169" s="122"/>
      <c r="M169" s="122"/>
      <c r="N169" s="122"/>
    </row>
    <row r="170" spans="1:14" x14ac:dyDescent="0.35">
      <c r="A170" s="50">
        <v>168</v>
      </c>
      <c r="B170" s="122"/>
      <c r="C170" s="51" t="str">
        <f>IF(ISNA(VLOOKUP(B170,Lists!A$2:B$38,2,FALSE)),"",VLOOKUP(B170,Lists!A$2:B$38,2,FALSE))</f>
        <v/>
      </c>
      <c r="D170" s="122"/>
      <c r="E170" s="124"/>
      <c r="F170" s="122"/>
      <c r="G170" s="124"/>
      <c r="H170" s="124"/>
      <c r="I170" s="124"/>
      <c r="J170" s="124"/>
      <c r="K170" s="52">
        <f t="shared" si="2"/>
        <v>0</v>
      </c>
      <c r="L170" s="122"/>
      <c r="M170" s="122"/>
      <c r="N170" s="122"/>
    </row>
    <row r="171" spans="1:14" x14ac:dyDescent="0.35">
      <c r="A171" s="50">
        <v>169</v>
      </c>
      <c r="B171" s="122"/>
      <c r="C171" s="51" t="str">
        <f>IF(ISNA(VLOOKUP(B171,Lists!A$2:B$38,2,FALSE)),"",VLOOKUP(B171,Lists!A$2:B$38,2,FALSE))</f>
        <v/>
      </c>
      <c r="D171" s="122"/>
      <c r="E171" s="124"/>
      <c r="F171" s="122"/>
      <c r="G171" s="124"/>
      <c r="H171" s="124"/>
      <c r="I171" s="124"/>
      <c r="J171" s="124"/>
      <c r="K171" s="52">
        <f t="shared" si="2"/>
        <v>0</v>
      </c>
      <c r="L171" s="122"/>
      <c r="M171" s="122"/>
      <c r="N171" s="122"/>
    </row>
    <row r="172" spans="1:14" x14ac:dyDescent="0.35">
      <c r="A172" s="50">
        <v>170</v>
      </c>
      <c r="B172" s="122"/>
      <c r="C172" s="51" t="str">
        <f>IF(ISNA(VLOOKUP(B172,Lists!A$2:B$38,2,FALSE)),"",VLOOKUP(B172,Lists!A$2:B$38,2,FALSE))</f>
        <v/>
      </c>
      <c r="D172" s="122"/>
      <c r="E172" s="124"/>
      <c r="F172" s="122"/>
      <c r="G172" s="124"/>
      <c r="H172" s="124"/>
      <c r="I172" s="124"/>
      <c r="J172" s="124"/>
      <c r="K172" s="52">
        <f t="shared" si="2"/>
        <v>0</v>
      </c>
      <c r="L172" s="122"/>
      <c r="M172" s="122"/>
      <c r="N172" s="122"/>
    </row>
    <row r="173" spans="1:14" x14ac:dyDescent="0.35">
      <c r="A173" s="50">
        <v>171</v>
      </c>
      <c r="B173" s="122"/>
      <c r="C173" s="51" t="str">
        <f>IF(ISNA(VLOOKUP(B173,Lists!A$2:B$38,2,FALSE)),"",VLOOKUP(B173,Lists!A$2:B$38,2,FALSE))</f>
        <v/>
      </c>
      <c r="D173" s="122"/>
      <c r="E173" s="124"/>
      <c r="F173" s="122"/>
      <c r="G173" s="124"/>
      <c r="H173" s="124"/>
      <c r="I173" s="124"/>
      <c r="J173" s="124"/>
      <c r="K173" s="52">
        <f t="shared" si="2"/>
        <v>0</v>
      </c>
      <c r="L173" s="122"/>
      <c r="M173" s="122"/>
      <c r="N173" s="122"/>
    </row>
    <row r="174" spans="1:14" x14ac:dyDescent="0.35">
      <c r="A174" s="50">
        <v>172</v>
      </c>
      <c r="B174" s="122"/>
      <c r="C174" s="51" t="str">
        <f>IF(ISNA(VLOOKUP(B174,Lists!A$2:B$38,2,FALSE)),"",VLOOKUP(B174,Lists!A$2:B$38,2,FALSE))</f>
        <v/>
      </c>
      <c r="D174" s="122"/>
      <c r="E174" s="124"/>
      <c r="F174" s="122"/>
      <c r="G174" s="124"/>
      <c r="H174" s="124"/>
      <c r="I174" s="124"/>
      <c r="J174" s="124"/>
      <c r="K174" s="52">
        <f t="shared" si="2"/>
        <v>0</v>
      </c>
      <c r="L174" s="122"/>
      <c r="M174" s="122"/>
      <c r="N174" s="122"/>
    </row>
    <row r="175" spans="1:14" x14ac:dyDescent="0.35">
      <c r="A175" s="50">
        <v>173</v>
      </c>
      <c r="B175" s="122"/>
      <c r="C175" s="51" t="str">
        <f>IF(ISNA(VLOOKUP(B175,Lists!A$2:B$38,2,FALSE)),"",VLOOKUP(B175,Lists!A$2:B$38,2,FALSE))</f>
        <v/>
      </c>
      <c r="D175" s="122"/>
      <c r="E175" s="124"/>
      <c r="F175" s="122"/>
      <c r="G175" s="124"/>
      <c r="H175" s="124"/>
      <c r="I175" s="124"/>
      <c r="J175" s="124"/>
      <c r="K175" s="52">
        <f t="shared" si="2"/>
        <v>0</v>
      </c>
      <c r="L175" s="122"/>
      <c r="M175" s="122"/>
      <c r="N175" s="122"/>
    </row>
    <row r="176" spans="1:14" x14ac:dyDescent="0.35">
      <c r="A176" s="50">
        <v>174</v>
      </c>
      <c r="B176" s="122"/>
      <c r="C176" s="51" t="str">
        <f>IF(ISNA(VLOOKUP(B176,Lists!A$2:B$38,2,FALSE)),"",VLOOKUP(B176,Lists!A$2:B$38,2,FALSE))</f>
        <v/>
      </c>
      <c r="D176" s="122"/>
      <c r="E176" s="124"/>
      <c r="F176" s="122"/>
      <c r="G176" s="124"/>
      <c r="H176" s="124"/>
      <c r="I176" s="124"/>
      <c r="J176" s="124"/>
      <c r="K176" s="52">
        <f t="shared" si="2"/>
        <v>0</v>
      </c>
      <c r="L176" s="122"/>
      <c r="M176" s="122"/>
      <c r="N176" s="122"/>
    </row>
    <row r="177" spans="1:14" x14ac:dyDescent="0.35">
      <c r="A177" s="50">
        <v>175</v>
      </c>
      <c r="B177" s="122"/>
      <c r="C177" s="51" t="str">
        <f>IF(ISNA(VLOOKUP(B177,Lists!A$2:B$38,2,FALSE)),"",VLOOKUP(B177,Lists!A$2:B$38,2,FALSE))</f>
        <v/>
      </c>
      <c r="D177" s="122"/>
      <c r="E177" s="124"/>
      <c r="F177" s="122"/>
      <c r="G177" s="124"/>
      <c r="H177" s="124"/>
      <c r="I177" s="124"/>
      <c r="J177" s="124"/>
      <c r="K177" s="52">
        <f t="shared" si="2"/>
        <v>0</v>
      </c>
      <c r="L177" s="122"/>
      <c r="M177" s="122"/>
      <c r="N177" s="122"/>
    </row>
    <row r="178" spans="1:14" x14ac:dyDescent="0.35">
      <c r="A178" s="50">
        <v>176</v>
      </c>
      <c r="B178" s="122"/>
      <c r="C178" s="51" t="str">
        <f>IF(ISNA(VLOOKUP(B178,Lists!A$2:B$38,2,FALSE)),"",VLOOKUP(B178,Lists!A$2:B$38,2,FALSE))</f>
        <v/>
      </c>
      <c r="D178" s="122"/>
      <c r="E178" s="124"/>
      <c r="F178" s="122"/>
      <c r="G178" s="124"/>
      <c r="H178" s="124"/>
      <c r="I178" s="124"/>
      <c r="J178" s="124"/>
      <c r="K178" s="52">
        <f t="shared" si="2"/>
        <v>0</v>
      </c>
      <c r="L178" s="122"/>
      <c r="M178" s="122"/>
      <c r="N178" s="122"/>
    </row>
    <row r="179" spans="1:14" x14ac:dyDescent="0.35">
      <c r="A179" s="50">
        <v>177</v>
      </c>
      <c r="B179" s="122"/>
      <c r="C179" s="51" t="str">
        <f>IF(ISNA(VLOOKUP(B179,Lists!A$2:B$38,2,FALSE)),"",VLOOKUP(B179,Lists!A$2:B$38,2,FALSE))</f>
        <v/>
      </c>
      <c r="D179" s="122"/>
      <c r="E179" s="124"/>
      <c r="F179" s="122"/>
      <c r="G179" s="124"/>
      <c r="H179" s="124"/>
      <c r="I179" s="124"/>
      <c r="J179" s="124"/>
      <c r="K179" s="52">
        <f t="shared" si="2"/>
        <v>0</v>
      </c>
      <c r="L179" s="122"/>
      <c r="M179" s="122"/>
      <c r="N179" s="122"/>
    </row>
    <row r="180" spans="1:14" x14ac:dyDescent="0.35">
      <c r="A180" s="50">
        <v>178</v>
      </c>
      <c r="B180" s="122"/>
      <c r="C180" s="51" t="str">
        <f>IF(ISNA(VLOOKUP(B180,Lists!A$2:B$38,2,FALSE)),"",VLOOKUP(B180,Lists!A$2:B$38,2,FALSE))</f>
        <v/>
      </c>
      <c r="D180" s="122"/>
      <c r="E180" s="124"/>
      <c r="F180" s="122"/>
      <c r="G180" s="124"/>
      <c r="H180" s="124"/>
      <c r="I180" s="124"/>
      <c r="J180" s="124"/>
      <c r="K180" s="52">
        <f t="shared" si="2"/>
        <v>0</v>
      </c>
      <c r="L180" s="122"/>
      <c r="M180" s="122"/>
      <c r="N180" s="122"/>
    </row>
    <row r="181" spans="1:14" x14ac:dyDescent="0.35">
      <c r="A181" s="50">
        <v>179</v>
      </c>
      <c r="B181" s="122"/>
      <c r="C181" s="51" t="str">
        <f>IF(ISNA(VLOOKUP(B181,Lists!A$2:B$38,2,FALSE)),"",VLOOKUP(B181,Lists!A$2:B$38,2,FALSE))</f>
        <v/>
      </c>
      <c r="D181" s="122"/>
      <c r="E181" s="124"/>
      <c r="F181" s="122"/>
      <c r="G181" s="124"/>
      <c r="H181" s="124"/>
      <c r="I181" s="124"/>
      <c r="J181" s="124"/>
      <c r="K181" s="52">
        <f t="shared" si="2"/>
        <v>0</v>
      </c>
      <c r="L181" s="122"/>
      <c r="M181" s="122"/>
      <c r="N181" s="122"/>
    </row>
    <row r="182" spans="1:14" x14ac:dyDescent="0.35">
      <c r="A182" s="50">
        <v>180</v>
      </c>
      <c r="B182" s="122"/>
      <c r="C182" s="51" t="str">
        <f>IF(ISNA(VLOOKUP(B182,Lists!A$2:B$38,2,FALSE)),"",VLOOKUP(B182,Lists!A$2:B$38,2,FALSE))</f>
        <v/>
      </c>
      <c r="D182" s="122"/>
      <c r="E182" s="124"/>
      <c r="F182" s="122"/>
      <c r="G182" s="124"/>
      <c r="H182" s="124"/>
      <c r="I182" s="124"/>
      <c r="J182" s="124"/>
      <c r="K182" s="52">
        <f t="shared" si="2"/>
        <v>0</v>
      </c>
      <c r="L182" s="122"/>
      <c r="M182" s="122"/>
      <c r="N182" s="122"/>
    </row>
    <row r="183" spans="1:14" x14ac:dyDescent="0.35">
      <c r="A183" s="50">
        <v>181</v>
      </c>
      <c r="B183" s="122"/>
      <c r="C183" s="51" t="str">
        <f>IF(ISNA(VLOOKUP(B183,Lists!A$2:B$38,2,FALSE)),"",VLOOKUP(B183,Lists!A$2:B$38,2,FALSE))</f>
        <v/>
      </c>
      <c r="D183" s="122"/>
      <c r="E183" s="124"/>
      <c r="F183" s="122"/>
      <c r="G183" s="124"/>
      <c r="H183" s="124"/>
      <c r="I183" s="124"/>
      <c r="J183" s="124"/>
      <c r="K183" s="52">
        <f t="shared" si="2"/>
        <v>0</v>
      </c>
      <c r="L183" s="122"/>
      <c r="M183" s="122"/>
      <c r="N183" s="122"/>
    </row>
    <row r="184" spans="1:14" x14ac:dyDescent="0.35">
      <c r="A184" s="50">
        <v>182</v>
      </c>
      <c r="B184" s="122"/>
      <c r="C184" s="51" t="str">
        <f>IF(ISNA(VLOOKUP(B184,Lists!A$2:B$38,2,FALSE)),"",VLOOKUP(B184,Lists!A$2:B$38,2,FALSE))</f>
        <v/>
      </c>
      <c r="D184" s="122"/>
      <c r="E184" s="124"/>
      <c r="F184" s="122"/>
      <c r="G184" s="124"/>
      <c r="H184" s="124"/>
      <c r="I184" s="124"/>
      <c r="J184" s="124"/>
      <c r="K184" s="52">
        <f t="shared" si="2"/>
        <v>0</v>
      </c>
      <c r="L184" s="122"/>
      <c r="M184" s="122"/>
      <c r="N184" s="122"/>
    </row>
    <row r="185" spans="1:14" x14ac:dyDescent="0.35">
      <c r="A185" s="50">
        <v>183</v>
      </c>
      <c r="B185" s="122"/>
      <c r="C185" s="51" t="str">
        <f>IF(ISNA(VLOOKUP(B185,Lists!A$2:B$38,2,FALSE)),"",VLOOKUP(B185,Lists!A$2:B$38,2,FALSE))</f>
        <v/>
      </c>
      <c r="D185" s="122"/>
      <c r="E185" s="124"/>
      <c r="F185" s="122"/>
      <c r="G185" s="124"/>
      <c r="H185" s="124"/>
      <c r="I185" s="124"/>
      <c r="J185" s="124"/>
      <c r="K185" s="52">
        <f t="shared" si="2"/>
        <v>0</v>
      </c>
      <c r="L185" s="122"/>
      <c r="M185" s="122"/>
      <c r="N185" s="122"/>
    </row>
    <row r="186" spans="1:14" x14ac:dyDescent="0.35">
      <c r="A186" s="50">
        <v>184</v>
      </c>
      <c r="B186" s="122"/>
      <c r="C186" s="51" t="str">
        <f>IF(ISNA(VLOOKUP(B186,Lists!A$2:B$38,2,FALSE)),"",VLOOKUP(B186,Lists!A$2:B$38,2,FALSE))</f>
        <v/>
      </c>
      <c r="D186" s="122"/>
      <c r="E186" s="124"/>
      <c r="F186" s="122"/>
      <c r="G186" s="124"/>
      <c r="H186" s="124"/>
      <c r="I186" s="124"/>
      <c r="J186" s="124"/>
      <c r="K186" s="52">
        <f t="shared" si="2"/>
        <v>0</v>
      </c>
      <c r="L186" s="122"/>
      <c r="M186" s="122"/>
      <c r="N186" s="122"/>
    </row>
    <row r="187" spans="1:14" x14ac:dyDescent="0.35">
      <c r="A187" s="50">
        <v>185</v>
      </c>
      <c r="B187" s="122"/>
      <c r="C187" s="51" t="str">
        <f>IF(ISNA(VLOOKUP(B187,Lists!A$2:B$38,2,FALSE)),"",VLOOKUP(B187,Lists!A$2:B$38,2,FALSE))</f>
        <v/>
      </c>
      <c r="D187" s="122"/>
      <c r="E187" s="124"/>
      <c r="F187" s="122"/>
      <c r="G187" s="124"/>
      <c r="H187" s="124"/>
      <c r="I187" s="124"/>
      <c r="J187" s="124"/>
      <c r="K187" s="52">
        <f t="shared" si="2"/>
        <v>0</v>
      </c>
      <c r="L187" s="122"/>
      <c r="M187" s="122"/>
      <c r="N187" s="122"/>
    </row>
    <row r="188" spans="1:14" x14ac:dyDescent="0.35">
      <c r="A188" s="50">
        <v>186</v>
      </c>
      <c r="B188" s="122"/>
      <c r="C188" s="51" t="str">
        <f>IF(ISNA(VLOOKUP(B188,Lists!A$2:B$38,2,FALSE)),"",VLOOKUP(B188,Lists!A$2:B$38,2,FALSE))</f>
        <v/>
      </c>
      <c r="D188" s="122"/>
      <c r="E188" s="124"/>
      <c r="F188" s="122"/>
      <c r="G188" s="124"/>
      <c r="H188" s="124"/>
      <c r="I188" s="124"/>
      <c r="J188" s="124"/>
      <c r="K188" s="52">
        <f t="shared" si="2"/>
        <v>0</v>
      </c>
      <c r="L188" s="122"/>
      <c r="M188" s="122"/>
      <c r="N188" s="122"/>
    </row>
    <row r="189" spans="1:14" x14ac:dyDescent="0.35">
      <c r="A189" s="50">
        <v>187</v>
      </c>
      <c r="B189" s="122"/>
      <c r="C189" s="51" t="str">
        <f>IF(ISNA(VLOOKUP(B189,Lists!A$2:B$38,2,FALSE)),"",VLOOKUP(B189,Lists!A$2:B$38,2,FALSE))</f>
        <v/>
      </c>
      <c r="D189" s="122"/>
      <c r="E189" s="124"/>
      <c r="F189" s="122"/>
      <c r="G189" s="124"/>
      <c r="H189" s="124"/>
      <c r="I189" s="124"/>
      <c r="J189" s="124"/>
      <c r="K189" s="52">
        <f t="shared" si="2"/>
        <v>0</v>
      </c>
      <c r="L189" s="122"/>
      <c r="M189" s="122"/>
      <c r="N189" s="122"/>
    </row>
    <row r="190" spans="1:14" x14ac:dyDescent="0.35">
      <c r="A190" s="50">
        <v>188</v>
      </c>
      <c r="B190" s="122"/>
      <c r="C190" s="51" t="str">
        <f>IF(ISNA(VLOOKUP(B190,Lists!A$2:B$38,2,FALSE)),"",VLOOKUP(B190,Lists!A$2:B$38,2,FALSE))</f>
        <v/>
      </c>
      <c r="D190" s="122"/>
      <c r="E190" s="124"/>
      <c r="F190" s="122"/>
      <c r="G190" s="124"/>
      <c r="H190" s="124"/>
      <c r="I190" s="124"/>
      <c r="J190" s="124"/>
      <c r="K190" s="52">
        <f t="shared" si="2"/>
        <v>0</v>
      </c>
      <c r="L190" s="122"/>
      <c r="M190" s="122"/>
      <c r="N190" s="122"/>
    </row>
    <row r="191" spans="1:14" x14ac:dyDescent="0.35">
      <c r="A191" s="50">
        <v>189</v>
      </c>
      <c r="B191" s="122"/>
      <c r="C191" s="51" t="str">
        <f>IF(ISNA(VLOOKUP(B191,Lists!A$2:B$38,2,FALSE)),"",VLOOKUP(B191,Lists!A$2:B$38,2,FALSE))</f>
        <v/>
      </c>
      <c r="D191" s="122"/>
      <c r="E191" s="124"/>
      <c r="F191" s="122"/>
      <c r="G191" s="124"/>
      <c r="H191" s="124"/>
      <c r="I191" s="124"/>
      <c r="J191" s="124"/>
      <c r="K191" s="52">
        <f t="shared" si="2"/>
        <v>0</v>
      </c>
      <c r="L191" s="122"/>
      <c r="M191" s="122"/>
      <c r="N191" s="122"/>
    </row>
    <row r="192" spans="1:14" x14ac:dyDescent="0.35">
      <c r="A192" s="50">
        <v>190</v>
      </c>
      <c r="B192" s="122"/>
      <c r="C192" s="51" t="str">
        <f>IF(ISNA(VLOOKUP(B192,Lists!A$2:B$38,2,FALSE)),"",VLOOKUP(B192,Lists!A$2:B$38,2,FALSE))</f>
        <v/>
      </c>
      <c r="D192" s="122"/>
      <c r="E192" s="124"/>
      <c r="F192" s="122"/>
      <c r="G192" s="124"/>
      <c r="H192" s="124"/>
      <c r="I192" s="124"/>
      <c r="J192" s="124"/>
      <c r="K192" s="52">
        <f t="shared" si="2"/>
        <v>0</v>
      </c>
      <c r="L192" s="122"/>
      <c r="M192" s="122"/>
      <c r="N192" s="122"/>
    </row>
    <row r="193" spans="1:14" x14ac:dyDescent="0.35">
      <c r="A193" s="50">
        <v>191</v>
      </c>
      <c r="B193" s="122"/>
      <c r="C193" s="51" t="str">
        <f>IF(ISNA(VLOOKUP(B193,Lists!A$2:B$38,2,FALSE)),"",VLOOKUP(B193,Lists!A$2:B$38,2,FALSE))</f>
        <v/>
      </c>
      <c r="D193" s="122"/>
      <c r="E193" s="124"/>
      <c r="F193" s="122"/>
      <c r="G193" s="124"/>
      <c r="H193" s="124"/>
      <c r="I193" s="124"/>
      <c r="J193" s="124"/>
      <c r="K193" s="52">
        <f t="shared" si="2"/>
        <v>0</v>
      </c>
      <c r="L193" s="122"/>
      <c r="M193" s="122"/>
      <c r="N193" s="122"/>
    </row>
    <row r="194" spans="1:14" x14ac:dyDescent="0.35">
      <c r="A194" s="50">
        <v>192</v>
      </c>
      <c r="B194" s="122"/>
      <c r="C194" s="51" t="str">
        <f>IF(ISNA(VLOOKUP(B194,Lists!A$2:B$38,2,FALSE)),"",VLOOKUP(B194,Lists!A$2:B$38,2,FALSE))</f>
        <v/>
      </c>
      <c r="D194" s="122"/>
      <c r="E194" s="124"/>
      <c r="F194" s="122"/>
      <c r="G194" s="124"/>
      <c r="H194" s="124"/>
      <c r="I194" s="124"/>
      <c r="J194" s="124"/>
      <c r="K194" s="52">
        <f t="shared" si="2"/>
        <v>0</v>
      </c>
      <c r="L194" s="122"/>
      <c r="M194" s="122"/>
      <c r="N194" s="122"/>
    </row>
    <row r="195" spans="1:14" x14ac:dyDescent="0.35">
      <c r="A195" s="50">
        <v>193</v>
      </c>
      <c r="B195" s="122"/>
      <c r="C195" s="51" t="str">
        <f>IF(ISNA(VLOOKUP(B195,Lists!A$2:B$38,2,FALSE)),"",VLOOKUP(B195,Lists!A$2:B$38,2,FALSE))</f>
        <v/>
      </c>
      <c r="D195" s="122"/>
      <c r="E195" s="124"/>
      <c r="F195" s="122"/>
      <c r="G195" s="124"/>
      <c r="H195" s="124"/>
      <c r="I195" s="124"/>
      <c r="J195" s="124"/>
      <c r="K195" s="52">
        <f t="shared" si="2"/>
        <v>0</v>
      </c>
      <c r="L195" s="122"/>
      <c r="M195" s="122"/>
      <c r="N195" s="122"/>
    </row>
    <row r="196" spans="1:14" x14ac:dyDescent="0.35">
      <c r="A196" s="50">
        <v>194</v>
      </c>
      <c r="B196" s="122"/>
      <c r="C196" s="51" t="str">
        <f>IF(ISNA(VLOOKUP(B196,Lists!A$2:B$38,2,FALSE)),"",VLOOKUP(B196,Lists!A$2:B$38,2,FALSE))</f>
        <v/>
      </c>
      <c r="D196" s="122"/>
      <c r="E196" s="124"/>
      <c r="F196" s="122"/>
      <c r="G196" s="124"/>
      <c r="H196" s="124"/>
      <c r="I196" s="124"/>
      <c r="J196" s="124"/>
      <c r="K196" s="52">
        <f t="shared" ref="K196:K202" si="3">G196*(H196/1000)*(I196/1000)*(J196/1000)</f>
        <v>0</v>
      </c>
      <c r="L196" s="122"/>
      <c r="M196" s="122"/>
      <c r="N196" s="122"/>
    </row>
    <row r="197" spans="1:14" x14ac:dyDescent="0.35">
      <c r="A197" s="50">
        <v>195</v>
      </c>
      <c r="B197" s="122"/>
      <c r="C197" s="51" t="str">
        <f>IF(ISNA(VLOOKUP(B197,Lists!A$2:B$38,2,FALSE)),"",VLOOKUP(B197,Lists!A$2:B$38,2,FALSE))</f>
        <v/>
      </c>
      <c r="D197" s="122"/>
      <c r="E197" s="124"/>
      <c r="F197" s="122"/>
      <c r="G197" s="124"/>
      <c r="H197" s="124"/>
      <c r="I197" s="124"/>
      <c r="J197" s="124"/>
      <c r="K197" s="52">
        <f t="shared" si="3"/>
        <v>0</v>
      </c>
      <c r="L197" s="122"/>
      <c r="M197" s="122"/>
      <c r="N197" s="122"/>
    </row>
    <row r="198" spans="1:14" x14ac:dyDescent="0.35">
      <c r="A198" s="50">
        <v>196</v>
      </c>
      <c r="B198" s="122"/>
      <c r="C198" s="51" t="str">
        <f>IF(ISNA(VLOOKUP(B198,Lists!A$2:B$38,2,FALSE)),"",VLOOKUP(B198,Lists!A$2:B$38,2,FALSE))</f>
        <v/>
      </c>
      <c r="D198" s="122"/>
      <c r="E198" s="124"/>
      <c r="F198" s="122"/>
      <c r="G198" s="124"/>
      <c r="H198" s="124"/>
      <c r="I198" s="124"/>
      <c r="J198" s="124"/>
      <c r="K198" s="52">
        <f t="shared" si="3"/>
        <v>0</v>
      </c>
      <c r="L198" s="122"/>
      <c r="M198" s="122"/>
      <c r="N198" s="122"/>
    </row>
    <row r="199" spans="1:14" x14ac:dyDescent="0.35">
      <c r="A199" s="50">
        <v>197</v>
      </c>
      <c r="B199" s="122"/>
      <c r="C199" s="51" t="str">
        <f>IF(ISNA(VLOOKUP(B199,Lists!A$2:B$38,2,FALSE)),"",VLOOKUP(B199,Lists!A$2:B$38,2,FALSE))</f>
        <v/>
      </c>
      <c r="D199" s="122"/>
      <c r="E199" s="124"/>
      <c r="F199" s="122"/>
      <c r="G199" s="124"/>
      <c r="H199" s="124"/>
      <c r="I199" s="124"/>
      <c r="J199" s="124"/>
      <c r="K199" s="52">
        <f t="shared" si="3"/>
        <v>0</v>
      </c>
      <c r="L199" s="122"/>
      <c r="M199" s="122"/>
      <c r="N199" s="122"/>
    </row>
    <row r="200" spans="1:14" x14ac:dyDescent="0.35">
      <c r="A200" s="50">
        <v>198</v>
      </c>
      <c r="B200" s="122"/>
      <c r="C200" s="51" t="str">
        <f>IF(ISNA(VLOOKUP(B200,Lists!A$2:B$38,2,FALSE)),"",VLOOKUP(B200,Lists!A$2:B$38,2,FALSE))</f>
        <v/>
      </c>
      <c r="D200" s="122"/>
      <c r="E200" s="124"/>
      <c r="F200" s="122"/>
      <c r="G200" s="124"/>
      <c r="H200" s="124"/>
      <c r="I200" s="124"/>
      <c r="J200" s="124"/>
      <c r="K200" s="52">
        <f t="shared" si="3"/>
        <v>0</v>
      </c>
      <c r="L200" s="122"/>
      <c r="M200" s="122"/>
      <c r="N200" s="122"/>
    </row>
    <row r="201" spans="1:14" x14ac:dyDescent="0.35">
      <c r="A201" s="50">
        <v>199</v>
      </c>
      <c r="B201" s="122"/>
      <c r="C201" s="51" t="str">
        <f>IF(ISNA(VLOOKUP(B201,Lists!A$2:B$38,2,FALSE)),"",VLOOKUP(B201,Lists!A$2:B$38,2,FALSE))</f>
        <v/>
      </c>
      <c r="D201" s="122"/>
      <c r="E201" s="124"/>
      <c r="F201" s="122"/>
      <c r="G201" s="124"/>
      <c r="H201" s="124"/>
      <c r="I201" s="124"/>
      <c r="J201" s="124"/>
      <c r="K201" s="52">
        <f t="shared" si="3"/>
        <v>0</v>
      </c>
      <c r="L201" s="122"/>
      <c r="M201" s="122"/>
      <c r="N201" s="122"/>
    </row>
    <row r="202" spans="1:14" x14ac:dyDescent="0.35">
      <c r="A202" s="50">
        <v>200</v>
      </c>
      <c r="B202" s="122"/>
      <c r="C202" s="51" t="str">
        <f>IF(ISNA(VLOOKUP(B202,Lists!A$2:B$38,2,FALSE)),"",VLOOKUP(B202,Lists!A$2:B$38,2,FALSE))</f>
        <v/>
      </c>
      <c r="D202" s="122"/>
      <c r="E202" s="124"/>
      <c r="F202" s="122"/>
      <c r="G202" s="124"/>
      <c r="H202" s="124"/>
      <c r="I202" s="124"/>
      <c r="J202" s="124"/>
      <c r="K202" s="52">
        <f t="shared" si="3"/>
        <v>0</v>
      </c>
      <c r="L202" s="122"/>
      <c r="M202" s="122"/>
      <c r="N202" s="122"/>
    </row>
  </sheetData>
  <sheetProtection sheet="1" objects="1" scenarios="1" formatCells="0" selectLockedCells="1"/>
  <conditionalFormatting sqref="K2">
    <cfRule type="cellIs" dxfId="3" priority="1" operator="between">
      <formula>1</formula>
      <formula>4.9</formula>
    </cfRule>
    <cfRule type="cellIs" dxfId="2" priority="2" operator="greaterThan">
      <formula>6</formula>
    </cfRule>
    <cfRule type="cellIs" dxfId="1" priority="4" operator="lessThan">
      <formula>4.8999</formula>
    </cfRule>
    <cfRule type="cellIs" dxfId="0" priority="7" operator="greaterThan">
      <formula>4.9</formula>
    </cfRule>
  </conditionalFormatting>
  <dataValidations count="1">
    <dataValidation type="list" allowBlank="1" showInputMessage="1" showErrorMessage="1" sqref="D3:D202" xr:uid="{00000000-0002-0000-0100-000000000000}">
      <formula1>INDIRECT(B3)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Lists!$F$2:$F$7</xm:f>
          </x14:formula1>
          <xm:sqref>L3:L202</xm:sqref>
        </x14:dataValidation>
        <x14:dataValidation type="list" allowBlank="1" showInputMessage="1" showErrorMessage="1" xr:uid="{00000000-0002-0000-0100-000002000000}">
          <x14:formula1>
            <xm:f>Lists!$J$2:$J$3</xm:f>
          </x14:formula1>
          <xm:sqref>M3:N202</xm:sqref>
        </x14:dataValidation>
        <x14:dataValidation type="list" allowBlank="1" showInputMessage="1" showErrorMessage="1" xr:uid="{00000000-0002-0000-0100-000003000000}">
          <x14:formula1>
            <xm:f>Lists!$D$2:$D$23</xm:f>
          </x14:formula1>
          <xm:sqref>F3:F202</xm:sqref>
        </x14:dataValidation>
        <x14:dataValidation type="list" showInputMessage="1" showErrorMessage="1" xr:uid="{00000000-0002-0000-0100-000004000000}">
          <x14:formula1>
            <xm:f>Lists!$A$60:$AL$60</xm:f>
          </x14:formula1>
          <xm:sqref>B3:B7</xm:sqref>
        </x14:dataValidation>
        <x14:dataValidation type="list" showInputMessage="1" showErrorMessage="1" xr:uid="{00000000-0002-0000-0100-000005000000}">
          <x14:formula1>
            <xm:f>Lists!$A$60:$AK$60</xm:f>
          </x14:formula1>
          <xm:sqref>B8:B202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B101"/>
  <sheetViews>
    <sheetView showZeros="0" tabSelected="1" workbookViewId="0">
      <selection activeCell="F4" sqref="F4"/>
    </sheetView>
  </sheetViews>
  <sheetFormatPr defaultRowHeight="14.5" x14ac:dyDescent="0.35"/>
  <cols>
    <col min="1" max="1" width="82.453125" bestFit="1" customWidth="1"/>
    <col min="2" max="3" width="10.54296875" bestFit="1" customWidth="1"/>
    <col min="4" max="4" width="15.7265625" bestFit="1" customWidth="1"/>
    <col min="5" max="5" width="3" bestFit="1" customWidth="1"/>
    <col min="6" max="6" width="10.26953125" customWidth="1"/>
    <col min="7" max="7" width="15.453125" bestFit="1" customWidth="1"/>
    <col min="8" max="8" width="69.1796875" customWidth="1"/>
    <col min="9" max="9" width="10.7265625" bestFit="1" customWidth="1"/>
  </cols>
  <sheetData>
    <row r="1" spans="1:28" ht="15" thickBot="1" x14ac:dyDescent="0.4">
      <c r="A1" s="57" t="s">
        <v>39</v>
      </c>
      <c r="B1" s="58">
        <f>'Data input'!K2</f>
        <v>0</v>
      </c>
      <c r="C1" s="56" t="s">
        <v>40</v>
      </c>
      <c r="D1" s="63" t="s">
        <v>41</v>
      </c>
      <c r="E1" s="54">
        <f>Costs!AI2</f>
        <v>8</v>
      </c>
      <c r="F1" s="127" t="s">
        <v>42</v>
      </c>
      <c r="G1" s="76" t="s">
        <v>43</v>
      </c>
      <c r="H1" s="76">
        <f>'Set up'!$B$8</f>
        <v>0</v>
      </c>
      <c r="I1" s="32"/>
      <c r="J1" s="45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35">
      <c r="A2" s="34" t="s">
        <v>44</v>
      </c>
      <c r="B2" s="42">
        <f>Calcs!F41</f>
        <v>0</v>
      </c>
      <c r="C2" s="55" t="e">
        <f>B2/$B$1</f>
        <v>#DIV/0!</v>
      </c>
      <c r="D2" s="146" t="e">
        <f>C2*5*Costs!AP2</f>
        <v>#DIV/0!</v>
      </c>
      <c r="E2" s="146"/>
      <c r="F2" s="62" t="e">
        <f>D2</f>
        <v>#DIV/0!</v>
      </c>
      <c r="G2" s="76" t="s">
        <v>45</v>
      </c>
      <c r="H2" s="76">
        <f>'Set up'!$B$9</f>
        <v>0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x14ac:dyDescent="0.35">
      <c r="A3" s="21" t="s">
        <v>46</v>
      </c>
      <c r="B3" s="41">
        <f>IF(B1&gt;4.499,Calcs!H39+Calcs!H40,(Calcs!H40*B1/5)+Calcs!H39)</f>
        <v>0</v>
      </c>
      <c r="C3" s="35" t="e">
        <f t="shared" ref="C3" si="0">B3/$B$1</f>
        <v>#DIV/0!</v>
      </c>
      <c r="D3" s="147">
        <f>(Calcs!H39*Costs!AP2)+Calcs!H40</f>
        <v>0</v>
      </c>
      <c r="E3" s="147"/>
      <c r="F3" s="60">
        <f>D3</f>
        <v>0</v>
      </c>
      <c r="G3" s="76" t="s">
        <v>47</v>
      </c>
      <c r="H3" s="76">
        <f>'Set up'!$B$10</f>
        <v>0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5" thickBot="1" x14ac:dyDescent="0.4">
      <c r="A4" s="37" t="s">
        <v>48</v>
      </c>
      <c r="B4" s="43">
        <f>Calcs!I41</f>
        <v>178.33333333333334</v>
      </c>
      <c r="C4" s="38">
        <f>'Dashboard Costs'!B4/Costs!AO2</f>
        <v>35.666666666666671</v>
      </c>
      <c r="D4" s="148">
        <f>Calcs!I41</f>
        <v>178.33333333333334</v>
      </c>
      <c r="E4" s="148"/>
      <c r="F4" s="125">
        <v>0</v>
      </c>
      <c r="G4" s="76" t="s">
        <v>49</v>
      </c>
      <c r="H4" s="79">
        <f>'Set up'!B6</f>
        <v>0</v>
      </c>
      <c r="I4" s="78">
        <f>'Set up'!C6</f>
        <v>0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x14ac:dyDescent="0.35">
      <c r="A5" s="34" t="s">
        <v>50</v>
      </c>
      <c r="B5" s="42">
        <f>Calcs!J41</f>
        <v>178.33333333333334</v>
      </c>
      <c r="C5" s="36" t="e">
        <f>SUM(C2:C4)</f>
        <v>#DIV/0!</v>
      </c>
      <c r="D5" s="148" t="e">
        <f>SUM(D2:D4)</f>
        <v>#DIV/0!</v>
      </c>
      <c r="E5" s="148"/>
      <c r="F5" s="60" t="e">
        <f>SUM(F2:F4)</f>
        <v>#DIV/0!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" thickBot="1" x14ac:dyDescent="0.4">
      <c r="A6" s="37" t="s">
        <v>51</v>
      </c>
      <c r="B6" s="43">
        <f>Calcs!K41</f>
        <v>35.666666666666671</v>
      </c>
      <c r="C6" s="38" t="e">
        <f>C5*0.2</f>
        <v>#DIV/0!</v>
      </c>
      <c r="D6" s="148" t="e">
        <f>D5*0.2</f>
        <v>#DIV/0!</v>
      </c>
      <c r="E6" s="148"/>
      <c r="F6" s="59" t="e">
        <f>F5*0.02</f>
        <v>#DIV/0!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15" thickBot="1" x14ac:dyDescent="0.4">
      <c r="A7" s="39" t="s">
        <v>52</v>
      </c>
      <c r="B7" s="44">
        <f>Calcs!L41</f>
        <v>214</v>
      </c>
      <c r="C7" s="40" t="e">
        <f>C5+C6</f>
        <v>#DIV/0!</v>
      </c>
      <c r="D7" s="145" t="e">
        <f>D5+D6</f>
        <v>#DIV/0!</v>
      </c>
      <c r="E7" s="145"/>
      <c r="F7" s="61" t="e">
        <f>SUM(F5:F6)</f>
        <v>#DIV/0!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x14ac:dyDescent="0.3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5" customHeight="1" x14ac:dyDescent="0.35">
      <c r="A9" s="1" t="s">
        <v>53</v>
      </c>
      <c r="B9" s="126" t="s">
        <v>54</v>
      </c>
      <c r="C9" s="144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 x14ac:dyDescent="0.35">
      <c r="A10" t="str">
        <f>IF(ISBLANK(Calcs!A2),#N/A,Calcs!A2)</f>
        <v>Insulation</v>
      </c>
      <c r="B10" s="4">
        <f>IF(ISBLANK(Calcs!B2),#N/A,Calcs!B2)</f>
        <v>0</v>
      </c>
      <c r="C10" s="14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 x14ac:dyDescent="0.35">
      <c r="A11" t="str">
        <f>IF(ISBLANK(Calcs!A3),#N/A,Calcs!A3)</f>
        <v>Concrete</v>
      </c>
      <c r="B11" s="4">
        <f>IF(ISBLANK(Calcs!B3),#N/A,Calcs!B3)</f>
        <v>0</v>
      </c>
      <c r="C11" s="144"/>
      <c r="D11" s="77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5" customHeight="1" x14ac:dyDescent="0.35">
      <c r="A12" t="str">
        <f>IF(ISBLANK(Calcs!A4),#N/A,Calcs!A4)</f>
        <v>Bricks</v>
      </c>
      <c r="B12" s="4">
        <f>IF(ISBLANK(Calcs!B4),#N/A,Calcs!B4)</f>
        <v>0</v>
      </c>
      <c r="C12" s="144"/>
      <c r="D12" s="77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ht="15" customHeight="1" x14ac:dyDescent="0.35">
      <c r="A13" t="str">
        <f>IF(ISBLANK(Calcs!A5),#N/A,Calcs!A5)</f>
        <v>Tiles_and_ceramics</v>
      </c>
      <c r="B13" s="4">
        <f>IF(ISBLANK(Calcs!B5),#N/A,Calcs!B5)</f>
        <v>0</v>
      </c>
      <c r="C13" s="144"/>
      <c r="D13" s="77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 x14ac:dyDescent="0.35">
      <c r="A14" t="str">
        <f>IF(ISBLANK(Calcs!A6),#N/A,Calcs!A6)</f>
        <v>Concrete_bricks_tiles_and_ceramics_in_mixtures</v>
      </c>
      <c r="B14" s="4">
        <f>IF(ISBLANK(Calcs!B6),#N/A,Calcs!B6)</f>
        <v>0</v>
      </c>
      <c r="C14" s="144"/>
      <c r="D14" s="77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 ht="15" customHeight="1" x14ac:dyDescent="0.35">
      <c r="A15" t="str">
        <f>IF(ISBLANK(Calcs!A7),#N/A,Calcs!A7)</f>
        <v>Wood_untreated</v>
      </c>
      <c r="B15" s="4">
        <f>IF(ISBLANK(Calcs!B7),#N/A,Calcs!B7)</f>
        <v>0</v>
      </c>
      <c r="C15" s="144"/>
      <c r="D15" s="7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15" customHeight="1" x14ac:dyDescent="0.35">
      <c r="A16" t="str">
        <f>IF(ISBLANK(Calcs!A8),#N/A,Calcs!A8)</f>
        <v>Treated_wood_glass_plastic_including_wood_plastic_window_frames</v>
      </c>
      <c r="B16" s="4">
        <f>IF(ISBLANK(Calcs!B8),#N/A,Calcs!B8)</f>
        <v>0</v>
      </c>
      <c r="C16" s="144"/>
      <c r="D16" s="77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1:28" ht="15" customHeight="1" x14ac:dyDescent="0.35">
      <c r="A17" t="str">
        <f>IF(ISBLANK(Calcs!A9),#N/A,Calcs!A9)</f>
        <v>Glass_uncontaminated</v>
      </c>
      <c r="B17" s="4">
        <f>IF(ISBLANK(Calcs!B9),#N/A,Calcs!B9)</f>
        <v>0</v>
      </c>
      <c r="C17" s="144"/>
      <c r="D17" s="77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28" ht="15" customHeight="1" x14ac:dyDescent="0.35">
      <c r="A18" t="str">
        <f>IF(ISBLANK(Calcs!A10),#N/A,Calcs!A10)</f>
        <v>Plastic_excluding_packaging_waste</v>
      </c>
      <c r="B18" s="4">
        <f>IF(ISBLANK(Calcs!B10),#N/A,Calcs!B10)</f>
        <v>0</v>
      </c>
      <c r="C18" s="144"/>
      <c r="D18" s="77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28" ht="15" customHeight="1" x14ac:dyDescent="0.35">
      <c r="A19" t="str">
        <f>IF(ISBLANK(Calcs!A11),#N/A,Calcs!A11)</f>
        <v>Bituminous_mixtures_containing_coal_tar</v>
      </c>
      <c r="B19" s="4">
        <f>IF(ISBLANK(Calcs!B11),#N/A,Calcs!B11)</f>
        <v>0</v>
      </c>
      <c r="C19" s="144"/>
      <c r="D19" s="77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ht="15" customHeight="1" x14ac:dyDescent="0.35">
      <c r="A20" t="str">
        <f>IF(ISBLANK(Calcs!A12),#N/A,Calcs!A12)</f>
        <v>Other_bituminous_mixtures</v>
      </c>
      <c r="B20" s="4">
        <f>IF(ISBLANK(Calcs!B12),#N/A,Calcs!B12)</f>
        <v>0</v>
      </c>
      <c r="C20" s="144"/>
      <c r="D20" s="77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28" ht="15" customHeight="1" x14ac:dyDescent="0.35">
      <c r="A21" t="str">
        <f>IF(ISBLANK(Calcs!A13),#N/A,Calcs!A13)</f>
        <v>Coal_tar_and_tarred_products</v>
      </c>
      <c r="B21" s="4">
        <f>IF(ISBLANK(Calcs!B13),#N/A,Calcs!B13)</f>
        <v>0</v>
      </c>
      <c r="C21" s="144"/>
      <c r="D21" s="7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5" customHeight="1" x14ac:dyDescent="0.35">
      <c r="A22" t="str">
        <f>IF(ISBLANK(Calcs!A14),#N/A,Calcs!A14)</f>
        <v>Copper_bronze_and_brass</v>
      </c>
      <c r="B22" s="4">
        <f>IF(ISBLANK(Calcs!B14),#N/A,Calcs!B14)</f>
        <v>0</v>
      </c>
      <c r="C22" s="144"/>
      <c r="D22" s="77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5" customHeight="1" x14ac:dyDescent="0.35">
      <c r="A23" t="str">
        <f>IF(ISBLANK(Calcs!A15),#N/A,Calcs!A15)</f>
        <v>Aluminium</v>
      </c>
      <c r="B23" s="4">
        <f>IF(ISBLANK(Calcs!B15),#N/A,Calcs!B15)</f>
        <v>0</v>
      </c>
      <c r="C23" s="144"/>
      <c r="D23" s="7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5" customHeight="1" x14ac:dyDescent="0.35">
      <c r="A24" t="str">
        <f>IF(ISBLANK(Calcs!A16),#N/A,Calcs!A16)</f>
        <v>Lead</v>
      </c>
      <c r="B24" s="4">
        <f>IF(ISBLANK(Calcs!B16),#N/A,Calcs!B16)</f>
        <v>0</v>
      </c>
      <c r="C24" s="144"/>
      <c r="D24" s="77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5" customHeight="1" x14ac:dyDescent="0.35">
      <c r="A25" t="str">
        <f>IF(ISBLANK(Calcs!A17),#N/A,Calcs!A17)</f>
        <v>Iron_and_steel</v>
      </c>
      <c r="B25" s="4">
        <f>IF(ISBLANK(Calcs!B17),#N/A,Calcs!B17)</f>
        <v>0</v>
      </c>
      <c r="C25" s="144"/>
      <c r="D25" s="77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5" customHeight="1" x14ac:dyDescent="0.35">
      <c r="A26" t="str">
        <f>IF(ISBLANK(Calcs!A18),#N/A,Calcs!A18)</f>
        <v>Tin</v>
      </c>
      <c r="B26" s="4">
        <f>IF(ISBLANK(Calcs!B18),#N/A,Calcs!B18)</f>
        <v>0</v>
      </c>
      <c r="C26" s="144"/>
      <c r="D26" s="77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5" customHeight="1" x14ac:dyDescent="0.35">
      <c r="A27" t="str">
        <f>IF(ISBLANK(Calcs!A19),#N/A,Calcs!A19)</f>
        <v>Mixed_metals</v>
      </c>
      <c r="B27" s="4">
        <f>IF(ISBLANK(Calcs!B19),#N/A,Calcs!B19)</f>
        <v>0</v>
      </c>
      <c r="C27" s="144"/>
      <c r="D27" s="7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5" customHeight="1" x14ac:dyDescent="0.35">
      <c r="A28" t="str">
        <f>IF(ISBLANK(Calcs!A20),#N/A,Calcs!A20)</f>
        <v>Cables</v>
      </c>
      <c r="B28" s="4">
        <f>IF(ISBLANK(Calcs!B20),#N/A,Calcs!B20)</f>
        <v>0</v>
      </c>
      <c r="C28" s="144"/>
      <c r="D28" s="77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5" customHeight="1" x14ac:dyDescent="0.35">
      <c r="A29" t="str">
        <f>IF(ISBLANK(Calcs!A21),#N/A,Calcs!A21)</f>
        <v>Inert_soil_and_stones</v>
      </c>
      <c r="B29" s="4">
        <f>IF(ISBLANK(Calcs!B21),#N/A,Calcs!B21)</f>
        <v>0</v>
      </c>
      <c r="C29" s="144"/>
      <c r="D29" s="77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5" customHeight="1" x14ac:dyDescent="0.35">
      <c r="A30" t="str">
        <f>IF(ISBLANK(Calcs!A22),#N/A,Calcs!A22)</f>
        <v>Dredging_spoil</v>
      </c>
      <c r="B30" s="4">
        <f>IF(ISBLANK(Calcs!B22),#N/A,Calcs!B22)</f>
        <v>0</v>
      </c>
      <c r="C30" s="144"/>
      <c r="D30" s="7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x14ac:dyDescent="0.35">
      <c r="A31" t="str">
        <f>IF(ISBLANK(Calcs!A23),#N/A,Calcs!A23)</f>
        <v>Gypsum_materials</v>
      </c>
      <c r="B31" s="4">
        <f>IF(ISBLANK(Calcs!B23),#N/A,Calcs!B23)</f>
        <v>0</v>
      </c>
      <c r="C31" s="144"/>
      <c r="D31" s="77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5" customHeight="1" x14ac:dyDescent="0.35">
      <c r="A32" t="str">
        <f>IF(ISBLANK(Calcs!A24),#N/A,Calcs!A24)</f>
        <v>Unused_or_unset_cement</v>
      </c>
      <c r="B32" s="4">
        <f>IF(ISBLANK(Calcs!B24),#N/A,Calcs!B24)</f>
        <v>0</v>
      </c>
      <c r="C32" s="1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ht="15" customHeight="1" x14ac:dyDescent="0.35">
      <c r="A33" t="str">
        <f>IF(ISBLANK(Calcs!A25),#N/A,Calcs!A25)</f>
        <v>Mixed_construction_and_demolition_wastes</v>
      </c>
      <c r="B33" s="4">
        <f>IF(ISBLANK(Calcs!B25),#N/A,Calcs!B25)</f>
        <v>0</v>
      </c>
      <c r="C33" s="14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ht="15" customHeight="1" x14ac:dyDescent="0.35">
      <c r="A34" t="str">
        <f>IF(ISBLANK(Calcs!A26),#N/A,Calcs!A26)</f>
        <v>Paints_and_varnishes_Containing_organic_solvents_or_other_hazardous_substances</v>
      </c>
      <c r="B34" s="4">
        <f>IF(ISBLANK(Calcs!B26),#N/A,Calcs!B26)</f>
        <v>0</v>
      </c>
      <c r="C34" s="144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 ht="15" customHeight="1" x14ac:dyDescent="0.35">
      <c r="A35" t="str">
        <f>IF(ISBLANK(Calcs!A27),#N/A,Calcs!A27)</f>
        <v>Paints_and_varnishes_Not_containing_organic_solvents_or_other_hazardous_substances</v>
      </c>
      <c r="B35" s="4">
        <f>IF(ISBLANK(Calcs!B27),#N/A,Calcs!B27)</f>
        <v>0</v>
      </c>
      <c r="C35" s="144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28" ht="15" customHeight="1" x14ac:dyDescent="0.35">
      <c r="A36" t="str">
        <f>IF(ISBLANK(Calcs!A28),#N/A,Calcs!A28)</f>
        <v>Packaging_Paper_and_Card</v>
      </c>
      <c r="B36" s="4">
        <f>IF(ISBLANK(Calcs!B28),#N/A,Calcs!B28)</f>
        <v>0</v>
      </c>
      <c r="C36" s="1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15" customHeight="1" x14ac:dyDescent="0.35">
      <c r="A37" t="str">
        <f>IF(ISBLANK(Calcs!A29),#N/A,Calcs!A29)</f>
        <v>Packaging_Plastic</v>
      </c>
      <c r="B37" s="4">
        <f>IF(ISBLANK(Calcs!B29),#N/A,Calcs!B29)</f>
        <v>0</v>
      </c>
      <c r="C37" s="1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28" ht="15" customHeight="1" x14ac:dyDescent="0.35">
      <c r="A38" t="str">
        <f>IF(ISBLANK(Calcs!A30),#N/A,Calcs!A30)</f>
        <v>Packaging_wooden</v>
      </c>
      <c r="B38" s="4">
        <f>IF(ISBLANK(Calcs!B30),#N/A,Calcs!B30)</f>
        <v>0</v>
      </c>
      <c r="C38" s="144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15" customHeight="1" x14ac:dyDescent="0.35">
      <c r="A39" t="str">
        <f>IF(ISBLANK(Calcs!A31),#N/A,Calcs!A31)</f>
        <v>Packaging_Metal</v>
      </c>
      <c r="B39" s="4">
        <f>IF(ISBLANK(Calcs!B31),#N/A,Calcs!B31)</f>
        <v>0</v>
      </c>
      <c r="C39" s="1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15" customHeight="1" x14ac:dyDescent="0.35">
      <c r="A40" t="str">
        <f>IF(ISBLANK(Calcs!A32),#N/A,Calcs!A32)</f>
        <v>Packaging_Glass</v>
      </c>
      <c r="B40" s="4">
        <f>IF(ISBLANK(Calcs!B32),#N/A,Calcs!B32)</f>
        <v>0</v>
      </c>
      <c r="C40" s="144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8" ht="15" customHeight="1" x14ac:dyDescent="0.35">
      <c r="A41" t="str">
        <f>IF(ISBLANK(Calcs!A33),#N/A,Calcs!A33)</f>
        <v>Packaging_Textiles</v>
      </c>
      <c r="B41" s="4">
        <f>IF(ISBLANK(Calcs!B33),#N/A,Calcs!B33)</f>
        <v>0</v>
      </c>
      <c r="C41" s="1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x14ac:dyDescent="0.35">
      <c r="A42" t="str">
        <f>IF(ISBLANK(Calcs!A34),#N/A,Calcs!A34)</f>
        <v>Packaging_Paint_cans_Metal_Plastic</v>
      </c>
      <c r="B42" s="4">
        <f>IF(ISBLANK(Calcs!B34),#N/A,Calcs!B34)</f>
        <v>0</v>
      </c>
      <c r="C42" s="144"/>
      <c r="D42" s="77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28" ht="15" customHeight="1" x14ac:dyDescent="0.35">
      <c r="A43" t="str">
        <f>IF(ISBLANK(Calcs!A35),#N/A,Calcs!A35)</f>
        <v>Other_Each</v>
      </c>
      <c r="B43" s="4">
        <f>IF(ISBLANK(Calcs!B35),#N/A,Calcs!B35)</f>
        <v>0</v>
      </c>
      <c r="C43" s="1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28" x14ac:dyDescent="0.35">
      <c r="A44" t="str">
        <f>IF(ISBLANK(Calcs!A36),#N/A,Calcs!A36)</f>
        <v>Other_Linear_meter</v>
      </c>
      <c r="B44" s="4">
        <f>IF(ISBLANK(Calcs!B36),#N/A,Calcs!B36)</f>
        <v>0</v>
      </c>
      <c r="C44" s="144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1:28" x14ac:dyDescent="0.35">
      <c r="A45" t="str">
        <f>IF(ISBLANK(Calcs!A37),#N/A,Calcs!A37)</f>
        <v>Other_Square_meter</v>
      </c>
      <c r="B45" s="4">
        <f>IF(ISBLANK(Calcs!B37),#N/A,Calcs!B37)</f>
        <v>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8" x14ac:dyDescent="0.35">
      <c r="A46" t="str">
        <f>IF(ISBLANK(Calcs!A38),#N/A,Calcs!A38)</f>
        <v>Other_Volume_cubic_meter</v>
      </c>
      <c r="B46" s="4">
        <f>IF(ISBLANK(Calcs!B38),#N/A,Calcs!B38)</f>
        <v>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28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8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:28" x14ac:dyDescent="0.3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x14ac:dyDescent="0.3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x14ac:dyDescent="0.3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x14ac:dyDescent="0.3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x14ac:dyDescent="0.3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x14ac:dyDescent="0.3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x14ac:dyDescent="0.3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x14ac:dyDescent="0.3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x14ac:dyDescent="0.3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x14ac:dyDescent="0.3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x14ac:dyDescent="0.3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x14ac:dyDescent="0.3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x14ac:dyDescent="0.3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 x14ac:dyDescent="0.3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x14ac:dyDescent="0.3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x14ac:dyDescent="0.3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x14ac:dyDescent="0.3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x14ac:dyDescent="0.3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x14ac:dyDescent="0.3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x14ac:dyDescent="0.3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x14ac:dyDescent="0.3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x14ac:dyDescent="0.3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x14ac:dyDescent="0.3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x14ac:dyDescent="0.3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x14ac:dyDescent="0.3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x14ac:dyDescent="0.3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</sheetData>
  <sheetProtection sheet="1" objects="1" scenarios="1" formatCells="0" selectLockedCells="1" sort="0" autoFilter="0"/>
  <mergeCells count="7">
    <mergeCell ref="C9:C44"/>
    <mergeCell ref="D7:E7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Z100"/>
  <sheetViews>
    <sheetView workbookViewId="0">
      <selection activeCell="B5" sqref="B5"/>
    </sheetView>
  </sheetViews>
  <sheetFormatPr defaultRowHeight="14.5" x14ac:dyDescent="0.35"/>
  <cols>
    <col min="1" max="1" width="82.453125" bestFit="1" customWidth="1"/>
    <col min="2" max="2" width="16" bestFit="1" customWidth="1"/>
    <col min="3" max="3" width="10.7265625" bestFit="1" customWidth="1"/>
    <col min="4" max="4" width="69.1796875" customWidth="1"/>
    <col min="6" max="6" width="10.7265625" bestFit="1" customWidth="1"/>
    <col min="9" max="9" width="10.7265625" bestFit="1" customWidth="1"/>
  </cols>
  <sheetData>
    <row r="1" spans="1:26" x14ac:dyDescent="0.35">
      <c r="A1" s="96" t="s">
        <v>43</v>
      </c>
      <c r="B1" s="76">
        <f>'Set up'!$B$8</f>
        <v>0</v>
      </c>
      <c r="C1" s="76"/>
      <c r="D1" s="32"/>
      <c r="E1" s="32"/>
      <c r="F1" s="45"/>
      <c r="G1" s="32"/>
      <c r="H1" s="32"/>
      <c r="I1" s="45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35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35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35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35">
      <c r="A5" s="1" t="s">
        <v>55</v>
      </c>
      <c r="B5" s="126" t="s">
        <v>56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35">
      <c r="A6" t="str">
        <f>Calcs!A2</f>
        <v>Insulation</v>
      </c>
      <c r="B6">
        <f>Calcs!N2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x14ac:dyDescent="0.35">
      <c r="A7" t="str">
        <f>Calcs!A3</f>
        <v>Concrete</v>
      </c>
      <c r="B7">
        <f>Calcs!N3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x14ac:dyDescent="0.35">
      <c r="A8" t="str">
        <f>Calcs!A4</f>
        <v>Bricks</v>
      </c>
      <c r="B8">
        <f>Calcs!N4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x14ac:dyDescent="0.35">
      <c r="A9" t="str">
        <f>Calcs!A5</f>
        <v>Tiles_and_ceramics</v>
      </c>
      <c r="B9">
        <f>Calcs!N5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35">
      <c r="A10" t="str">
        <f>Calcs!A6</f>
        <v>Concrete_bricks_tiles_and_ceramics_in_mixtures</v>
      </c>
      <c r="B10">
        <f>Calcs!N6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x14ac:dyDescent="0.35">
      <c r="A11" t="str">
        <f>Calcs!A7</f>
        <v>Wood_untreated</v>
      </c>
      <c r="B11">
        <f>Calcs!N7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x14ac:dyDescent="0.35">
      <c r="A12" t="str">
        <f>Calcs!A8</f>
        <v>Treated_wood_glass_plastic_including_wood_plastic_window_frames</v>
      </c>
      <c r="B12">
        <f>Calcs!N8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35">
      <c r="A13" t="str">
        <f>Calcs!A9</f>
        <v>Glass_uncontaminated</v>
      </c>
      <c r="B13">
        <f>Calcs!N9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x14ac:dyDescent="0.35">
      <c r="A14" t="str">
        <f>Calcs!A10</f>
        <v>Plastic_excluding_packaging_waste</v>
      </c>
      <c r="B14">
        <f>Calcs!N10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35">
      <c r="A15" t="str">
        <f>Calcs!A11</f>
        <v>Bituminous_mixtures_containing_coal_tar</v>
      </c>
      <c r="B15">
        <f>Calcs!N11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35">
      <c r="A16" t="str">
        <f>Calcs!A12</f>
        <v>Other_bituminous_mixtures</v>
      </c>
      <c r="B16">
        <f>Calcs!N12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35">
      <c r="A17" t="str">
        <f>Calcs!A13</f>
        <v>Coal_tar_and_tarred_products</v>
      </c>
      <c r="B17">
        <f>Calcs!N13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x14ac:dyDescent="0.35">
      <c r="A18" t="str">
        <f>Calcs!A14</f>
        <v>Copper_bronze_and_brass</v>
      </c>
      <c r="B18">
        <f>Calcs!N14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x14ac:dyDescent="0.35">
      <c r="A19" t="str">
        <f>Calcs!A15</f>
        <v>Aluminium</v>
      </c>
      <c r="B19">
        <f>Calcs!N15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x14ac:dyDescent="0.35">
      <c r="A20" t="str">
        <f>Calcs!A16</f>
        <v>Lead</v>
      </c>
      <c r="B20">
        <f>Calcs!N16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x14ac:dyDescent="0.35">
      <c r="A21" t="str">
        <f>Calcs!A17</f>
        <v>Iron_and_steel</v>
      </c>
      <c r="B21">
        <f>Calcs!N17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x14ac:dyDescent="0.35">
      <c r="A22" t="str">
        <f>Calcs!A18</f>
        <v>Tin</v>
      </c>
      <c r="B22">
        <f>Calcs!N18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x14ac:dyDescent="0.35">
      <c r="A23" t="str">
        <f>Calcs!A19</f>
        <v>Mixed_metals</v>
      </c>
      <c r="B23">
        <f>Calcs!N19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x14ac:dyDescent="0.35">
      <c r="A24" t="str">
        <f>Calcs!A20</f>
        <v>Cables</v>
      </c>
      <c r="B24">
        <f>Calcs!N20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x14ac:dyDescent="0.35">
      <c r="A25" t="str">
        <f>Calcs!A21</f>
        <v>Inert_soil_and_stones</v>
      </c>
      <c r="B25">
        <f>Calcs!N21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x14ac:dyDescent="0.35">
      <c r="A26" t="str">
        <f>Calcs!A22</f>
        <v>Dredging_spoil</v>
      </c>
      <c r="B26">
        <f>Calcs!N22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x14ac:dyDescent="0.35">
      <c r="A27" t="str">
        <f>Calcs!A23</f>
        <v>Gypsum_materials</v>
      </c>
      <c r="B27">
        <f>Calcs!N23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x14ac:dyDescent="0.35">
      <c r="A28" t="str">
        <f>Calcs!A24</f>
        <v>Unused_or_unset_cement</v>
      </c>
      <c r="B28">
        <f>Calcs!N24</f>
        <v>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x14ac:dyDescent="0.35">
      <c r="A29" t="str">
        <f>Calcs!A25</f>
        <v>Mixed_construction_and_demolition_wastes</v>
      </c>
      <c r="B29">
        <f>Calcs!N25</f>
        <v>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x14ac:dyDescent="0.35">
      <c r="A30" t="str">
        <f>Calcs!A26</f>
        <v>Paints_and_varnishes_Containing_organic_solvents_or_other_hazardous_substances</v>
      </c>
      <c r="B30">
        <f>Calcs!N26</f>
        <v>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x14ac:dyDescent="0.35">
      <c r="A31" t="str">
        <f>Calcs!A27</f>
        <v>Paints_and_varnishes_Not_containing_organic_solvents_or_other_hazardous_substances</v>
      </c>
      <c r="B31">
        <f>Calcs!N27</f>
        <v>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x14ac:dyDescent="0.35">
      <c r="A32" t="str">
        <f>Calcs!A28</f>
        <v>Packaging_Paper_and_Card</v>
      </c>
      <c r="B32">
        <f>Calcs!N28</f>
        <v>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x14ac:dyDescent="0.35">
      <c r="A33" t="str">
        <f>Calcs!A29</f>
        <v>Packaging_Plastic</v>
      </c>
      <c r="B33">
        <f>Calcs!N29</f>
        <v>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x14ac:dyDescent="0.35">
      <c r="A34" t="str">
        <f>Calcs!A30</f>
        <v>Packaging_wooden</v>
      </c>
      <c r="B34">
        <f>Calcs!N30</f>
        <v>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x14ac:dyDescent="0.35">
      <c r="A35" t="str">
        <f>Calcs!A31</f>
        <v>Packaging_Metal</v>
      </c>
      <c r="B35">
        <f>Calcs!N31</f>
        <v>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x14ac:dyDescent="0.35">
      <c r="A36" t="str">
        <f>Calcs!A32</f>
        <v>Packaging_Glass</v>
      </c>
      <c r="B36">
        <f>Calcs!N32</f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x14ac:dyDescent="0.35">
      <c r="A37" t="str">
        <f>Calcs!A33</f>
        <v>Packaging_Textiles</v>
      </c>
      <c r="B37">
        <f>Calcs!N33</f>
        <v>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x14ac:dyDescent="0.35">
      <c r="A38" t="str">
        <f>Calcs!A34</f>
        <v>Packaging_Paint_cans_Metal_Plastic</v>
      </c>
      <c r="B38">
        <f>Calcs!N34</f>
        <v>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x14ac:dyDescent="0.35">
      <c r="A39" t="str">
        <f>Calcs!A35</f>
        <v>Other_Each</v>
      </c>
      <c r="B39">
        <f>Calcs!N35</f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x14ac:dyDescent="0.35">
      <c r="A40" t="str">
        <f>Calcs!A36</f>
        <v>Other_Linear_meter</v>
      </c>
      <c r="B40">
        <f>Calcs!N36</f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35">
      <c r="A41" t="str">
        <f>Calcs!A37</f>
        <v>Other_Square_meter</v>
      </c>
      <c r="B41">
        <f>Calcs!N37</f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x14ac:dyDescent="0.35">
      <c r="A42" t="str">
        <f>Calcs!A38</f>
        <v>Other_Volume_cubic_meter</v>
      </c>
      <c r="B42">
        <f>Calcs!N38</f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x14ac:dyDescent="0.3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x14ac:dyDescent="0.3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x14ac:dyDescent="0.3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x14ac:dyDescent="0.3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x14ac:dyDescent="0.3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x14ac:dyDescent="0.3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3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x14ac:dyDescent="0.3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x14ac:dyDescent="0.3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x14ac:dyDescent="0.3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x14ac:dyDescent="0.3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x14ac:dyDescent="0.3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x14ac:dyDescent="0.3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x14ac:dyDescent="0.3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x14ac:dyDescent="0.3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x14ac:dyDescent="0.3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x14ac:dyDescent="0.3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x14ac:dyDescent="0.3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x14ac:dyDescent="0.3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x14ac:dyDescent="0.3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x14ac:dyDescent="0.3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x14ac:dyDescent="0.3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x14ac:dyDescent="0.3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x14ac:dyDescent="0.3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x14ac:dyDescent="0.3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x14ac:dyDescent="0.3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x14ac:dyDescent="0.3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x14ac:dyDescent="0.3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Z100"/>
  <sheetViews>
    <sheetView workbookViewId="0">
      <selection activeCell="B5" sqref="B5"/>
    </sheetView>
  </sheetViews>
  <sheetFormatPr defaultRowHeight="14.5" x14ac:dyDescent="0.35"/>
  <cols>
    <col min="1" max="1" width="82.453125" bestFit="1" customWidth="1"/>
    <col min="2" max="2" width="16" bestFit="1" customWidth="1"/>
    <col min="3" max="3" width="10.7265625" bestFit="1" customWidth="1"/>
    <col min="4" max="4" width="69.1796875" customWidth="1"/>
    <col min="6" max="6" width="10.7265625" bestFit="1" customWidth="1"/>
    <col min="9" max="9" width="10.7265625" bestFit="1" customWidth="1"/>
  </cols>
  <sheetData>
    <row r="1" spans="1:26" x14ac:dyDescent="0.35">
      <c r="A1" s="96" t="s">
        <v>43</v>
      </c>
      <c r="B1" s="76">
        <f>'Set up'!$B$8</f>
        <v>0</v>
      </c>
      <c r="C1" s="76"/>
      <c r="D1" s="32"/>
      <c r="E1" s="32"/>
      <c r="F1" s="45"/>
      <c r="G1" s="32"/>
      <c r="H1" s="32"/>
      <c r="I1" s="45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35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35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35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35">
      <c r="A5" s="1" t="s">
        <v>55</v>
      </c>
      <c r="B5" s="126" t="s">
        <v>57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35">
      <c r="A6" t="str">
        <f>Calcs!A2</f>
        <v>Insulation</v>
      </c>
      <c r="B6">
        <f>Calcs!O2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x14ac:dyDescent="0.35">
      <c r="A7" t="str">
        <f>Calcs!A3</f>
        <v>Concrete</v>
      </c>
      <c r="B7">
        <f>Calcs!O3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x14ac:dyDescent="0.35">
      <c r="A8" t="str">
        <f>Calcs!A4</f>
        <v>Bricks</v>
      </c>
      <c r="B8">
        <f>Calcs!O4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x14ac:dyDescent="0.35">
      <c r="A9" t="str">
        <f>Calcs!A5</f>
        <v>Tiles_and_ceramics</v>
      </c>
      <c r="B9">
        <f>Calcs!O5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35">
      <c r="A10" t="str">
        <f>Calcs!A6</f>
        <v>Concrete_bricks_tiles_and_ceramics_in_mixtures</v>
      </c>
      <c r="B10">
        <f>Calcs!O6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x14ac:dyDescent="0.35">
      <c r="A11" t="str">
        <f>Calcs!A7</f>
        <v>Wood_untreated</v>
      </c>
      <c r="B11">
        <f>Calcs!O7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x14ac:dyDescent="0.35">
      <c r="A12" t="str">
        <f>Calcs!A8</f>
        <v>Treated_wood_glass_plastic_including_wood_plastic_window_frames</v>
      </c>
      <c r="B12">
        <f>Calcs!O8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35">
      <c r="A13" t="str">
        <f>Calcs!A9</f>
        <v>Glass_uncontaminated</v>
      </c>
      <c r="B13">
        <f>Calcs!O9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x14ac:dyDescent="0.35">
      <c r="A14" t="str">
        <f>Calcs!A10</f>
        <v>Plastic_excluding_packaging_waste</v>
      </c>
      <c r="B14">
        <f>Calcs!O10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35">
      <c r="A15" t="str">
        <f>Calcs!A11</f>
        <v>Bituminous_mixtures_containing_coal_tar</v>
      </c>
      <c r="B15">
        <f>Calcs!O11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35">
      <c r="A16" t="str">
        <f>Calcs!A12</f>
        <v>Other_bituminous_mixtures</v>
      </c>
      <c r="B16">
        <f>Calcs!O12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35">
      <c r="A17" t="str">
        <f>Calcs!A13</f>
        <v>Coal_tar_and_tarred_products</v>
      </c>
      <c r="B17">
        <f>Calcs!O13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x14ac:dyDescent="0.35">
      <c r="A18" t="str">
        <f>Calcs!A14</f>
        <v>Copper_bronze_and_brass</v>
      </c>
      <c r="B18">
        <f>Calcs!O14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x14ac:dyDescent="0.35">
      <c r="A19" t="str">
        <f>Calcs!A15</f>
        <v>Aluminium</v>
      </c>
      <c r="B19">
        <f>Calcs!O15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x14ac:dyDescent="0.35">
      <c r="A20" t="str">
        <f>Calcs!A16</f>
        <v>Lead</v>
      </c>
      <c r="B20">
        <f>Calcs!O16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x14ac:dyDescent="0.35">
      <c r="A21" t="str">
        <f>Calcs!A17</f>
        <v>Iron_and_steel</v>
      </c>
      <c r="B21">
        <f>Calcs!O17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x14ac:dyDescent="0.35">
      <c r="A22" t="str">
        <f>Calcs!A18</f>
        <v>Tin</v>
      </c>
      <c r="B22">
        <f>Calcs!O18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x14ac:dyDescent="0.35">
      <c r="A23" t="str">
        <f>Calcs!A19</f>
        <v>Mixed_metals</v>
      </c>
      <c r="B23">
        <f>Calcs!O19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x14ac:dyDescent="0.35">
      <c r="A24" t="str">
        <f>Calcs!A20</f>
        <v>Cables</v>
      </c>
      <c r="B24">
        <f>Calcs!O20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x14ac:dyDescent="0.35">
      <c r="A25" t="str">
        <f>Calcs!A21</f>
        <v>Inert_soil_and_stones</v>
      </c>
      <c r="B25">
        <f>Calcs!O21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x14ac:dyDescent="0.35">
      <c r="A26" t="str">
        <f>Calcs!A22</f>
        <v>Dredging_spoil</v>
      </c>
      <c r="B26">
        <f>Calcs!O22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x14ac:dyDescent="0.35">
      <c r="A27" t="str">
        <f>Calcs!A23</f>
        <v>Gypsum_materials</v>
      </c>
      <c r="B27">
        <f>Calcs!O23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x14ac:dyDescent="0.35">
      <c r="A28" t="str">
        <f>Calcs!A24</f>
        <v>Unused_or_unset_cement</v>
      </c>
      <c r="B28">
        <f>Calcs!O24</f>
        <v>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x14ac:dyDescent="0.35">
      <c r="A29" t="str">
        <f>Calcs!A25</f>
        <v>Mixed_construction_and_demolition_wastes</v>
      </c>
      <c r="B29">
        <f>Calcs!O25</f>
        <v>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x14ac:dyDescent="0.35">
      <c r="A30" t="str">
        <f>Calcs!A26</f>
        <v>Paints_and_varnishes_Containing_organic_solvents_or_other_hazardous_substances</v>
      </c>
      <c r="B30">
        <f>Calcs!O26</f>
        <v>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x14ac:dyDescent="0.35">
      <c r="A31" t="str">
        <f>Calcs!A27</f>
        <v>Paints_and_varnishes_Not_containing_organic_solvents_or_other_hazardous_substances</v>
      </c>
      <c r="B31">
        <f>Calcs!O27</f>
        <v>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x14ac:dyDescent="0.35">
      <c r="A32" t="str">
        <f>Calcs!A28</f>
        <v>Packaging_Paper_and_Card</v>
      </c>
      <c r="B32">
        <f>Calcs!O28</f>
        <v>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x14ac:dyDescent="0.35">
      <c r="A33" t="str">
        <f>Calcs!A29</f>
        <v>Packaging_Plastic</v>
      </c>
      <c r="B33">
        <f>Calcs!O29</f>
        <v>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x14ac:dyDescent="0.35">
      <c r="A34" t="str">
        <f>Calcs!A30</f>
        <v>Packaging_wooden</v>
      </c>
      <c r="B34">
        <f>Calcs!O30</f>
        <v>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x14ac:dyDescent="0.35">
      <c r="A35" t="str">
        <f>Calcs!A31</f>
        <v>Packaging_Metal</v>
      </c>
      <c r="B35">
        <f>Calcs!O31</f>
        <v>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x14ac:dyDescent="0.35">
      <c r="A36" t="str">
        <f>Calcs!A32</f>
        <v>Packaging_Glass</v>
      </c>
      <c r="B36">
        <f>Calcs!O32</f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x14ac:dyDescent="0.35">
      <c r="A37" t="str">
        <f>Calcs!A33</f>
        <v>Packaging_Textiles</v>
      </c>
      <c r="B37">
        <f>Calcs!O33</f>
        <v>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x14ac:dyDescent="0.35">
      <c r="A38" t="str">
        <f>Calcs!A34</f>
        <v>Packaging_Paint_cans_Metal_Plastic</v>
      </c>
      <c r="B38">
        <f>Calcs!O34</f>
        <v>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x14ac:dyDescent="0.35">
      <c r="A39" t="str">
        <f>Calcs!A35</f>
        <v>Other_Each</v>
      </c>
      <c r="B39">
        <f>Calcs!O35</f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x14ac:dyDescent="0.35">
      <c r="A40" t="str">
        <f>Calcs!A36</f>
        <v>Other_Linear_meter</v>
      </c>
      <c r="B40">
        <f>Calcs!O36</f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35">
      <c r="A41" t="str">
        <f>Calcs!A37</f>
        <v>Other_Square_meter</v>
      </c>
      <c r="B41">
        <f>Calcs!O37</f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x14ac:dyDescent="0.35">
      <c r="A42" t="str">
        <f>Calcs!A38</f>
        <v>Other_Volume_cubic_meter</v>
      </c>
      <c r="B42">
        <f>Calcs!O38</f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x14ac:dyDescent="0.3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x14ac:dyDescent="0.3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x14ac:dyDescent="0.3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x14ac:dyDescent="0.3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x14ac:dyDescent="0.3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x14ac:dyDescent="0.3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3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x14ac:dyDescent="0.3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x14ac:dyDescent="0.3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x14ac:dyDescent="0.3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x14ac:dyDescent="0.3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x14ac:dyDescent="0.3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x14ac:dyDescent="0.3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x14ac:dyDescent="0.3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x14ac:dyDescent="0.3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x14ac:dyDescent="0.3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x14ac:dyDescent="0.3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x14ac:dyDescent="0.3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x14ac:dyDescent="0.3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x14ac:dyDescent="0.3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x14ac:dyDescent="0.3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x14ac:dyDescent="0.3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x14ac:dyDescent="0.3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x14ac:dyDescent="0.3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x14ac:dyDescent="0.3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x14ac:dyDescent="0.3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x14ac:dyDescent="0.3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x14ac:dyDescent="0.3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Z100"/>
  <sheetViews>
    <sheetView topLeftCell="A4" workbookViewId="0">
      <selection activeCell="B5" sqref="B5"/>
    </sheetView>
  </sheetViews>
  <sheetFormatPr defaultRowHeight="14.5" x14ac:dyDescent="0.35"/>
  <cols>
    <col min="1" max="1" width="48.7265625" bestFit="1" customWidth="1"/>
    <col min="2" max="2" width="16" bestFit="1" customWidth="1"/>
    <col min="3" max="3" width="10.7265625" bestFit="1" customWidth="1"/>
  </cols>
  <sheetData>
    <row r="1" spans="1:26" x14ac:dyDescent="0.35">
      <c r="A1" s="96" t="s">
        <v>43</v>
      </c>
      <c r="B1" s="76">
        <f>'Set up'!$B$8</f>
        <v>0</v>
      </c>
      <c r="C1" s="7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35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35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35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35">
      <c r="A5" t="s">
        <v>58</v>
      </c>
      <c r="B5" s="128" t="s">
        <v>59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35">
      <c r="A6" t="str">
        <f>Calcs!P2</f>
        <v>Application and residue waste (spillage)</v>
      </c>
      <c r="B6">
        <f>Calcs!Q2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x14ac:dyDescent="0.35">
      <c r="A7" t="str">
        <f>Calcs!P3</f>
        <v>Canteen and office waste</v>
      </c>
      <c r="B7">
        <f>Calcs!Q3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x14ac:dyDescent="0.35">
      <c r="A8" t="str">
        <f>Calcs!P4</f>
        <v>Client/designer change of mind</v>
      </c>
      <c r="B8">
        <f>Calcs!Q4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x14ac:dyDescent="0.35">
      <c r="A9" t="str">
        <f>Calcs!P5</f>
        <v>Conversion waste (dimensions)</v>
      </c>
      <c r="B9">
        <f>Calcs!Q5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x14ac:dyDescent="0.35">
      <c r="A10" t="str">
        <f>Calcs!P6</f>
        <v>Criminal waste (vandalism)</v>
      </c>
      <c r="B10">
        <f>Calcs!Q6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x14ac:dyDescent="0.35">
      <c r="A11" t="str">
        <f>Calcs!P7</f>
        <v>Cutting waste</v>
      </c>
      <c r="B11">
        <f>Calcs!Q7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x14ac:dyDescent="0.35">
      <c r="A12" t="str">
        <f>Calcs!P8</f>
        <v>Damaged: Site storage and internal site transit waste</v>
      </c>
      <c r="B12">
        <f>Calcs!Q8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35">
      <c r="A13" t="str">
        <f>Calcs!P9</f>
        <v>Damaged: Transport and delivery</v>
      </c>
      <c r="B13">
        <f>Calcs!Q9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x14ac:dyDescent="0.35">
      <c r="A14" t="str">
        <f>Calcs!P10</f>
        <v>Damaged: weather</v>
      </c>
      <c r="B14">
        <f>Calcs!Q10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35">
      <c r="A15" t="str">
        <f>Calcs!P11</f>
        <v>Demolition and stripping out</v>
      </c>
      <c r="B15">
        <f>Calcs!Q11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35">
      <c r="A16" t="str">
        <f>Calcs!P12</f>
        <v>Design error</v>
      </c>
      <c r="B16">
        <f>Calcs!Q12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35">
      <c r="A17" t="str">
        <f>Calcs!P13</f>
        <v>Excess materials (too much in a batch)</v>
      </c>
      <c r="B17">
        <f>Calcs!Q13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x14ac:dyDescent="0.35">
      <c r="A18" t="str">
        <f>Calcs!P14</f>
        <v>Fixing waste: built in wrong place</v>
      </c>
      <c r="B18">
        <f>Calcs!Q14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x14ac:dyDescent="0.35">
      <c r="A19" t="str">
        <f>Calcs!P15</f>
        <v>Fixing waste: poor workmanship/quality</v>
      </c>
      <c r="B19">
        <f>Calcs!Q15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x14ac:dyDescent="0.35">
      <c r="A20" t="str">
        <f>Calcs!P16</f>
        <v>Learning waste</v>
      </c>
      <c r="B20">
        <f>Calcs!Q16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x14ac:dyDescent="0.35">
      <c r="A21" t="str">
        <f>Calcs!P17</f>
        <v>Manufacturing defect</v>
      </c>
      <c r="B21">
        <f>Calcs!Q17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x14ac:dyDescent="0.35">
      <c r="A22" t="str">
        <f>Calcs!P18</f>
        <v>Not recovered by supplier (packaging)</v>
      </c>
      <c r="B22">
        <f>Calcs!Q18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x14ac:dyDescent="0.35">
      <c r="A23" t="str">
        <f>Calcs!P19</f>
        <v>Over ordering</v>
      </c>
      <c r="B23">
        <f>Calcs!Q19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x14ac:dyDescent="0.35">
      <c r="A24" t="str">
        <f>Calcs!P20</f>
        <v>Temporary Works</v>
      </c>
      <c r="B24">
        <f>Calcs!Q20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x14ac:dyDescent="0.35">
      <c r="A25" t="str">
        <f>Calcs!P21</f>
        <v>Waste caused by other trades (if unprotected)</v>
      </c>
      <c r="B25">
        <f>Calcs!Q21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x14ac:dyDescent="0.35">
      <c r="A26" t="str">
        <f>Calcs!P22</f>
        <v>Wrongly specified (by contractor)</v>
      </c>
      <c r="B26">
        <f>Calcs!Q22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x14ac:dyDescent="0.3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x14ac:dyDescent="0.3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x14ac:dyDescent="0.3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x14ac:dyDescent="0.3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x14ac:dyDescent="0.3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x14ac:dyDescent="0.3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x14ac:dyDescent="0.3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x14ac:dyDescent="0.3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x14ac:dyDescent="0.3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x14ac:dyDescent="0.3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x14ac:dyDescent="0.3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x14ac:dyDescent="0.3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x14ac:dyDescent="0.3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x14ac:dyDescent="0.3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x14ac:dyDescent="0.3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x14ac:dyDescent="0.3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x14ac:dyDescent="0.3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x14ac:dyDescent="0.3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x14ac:dyDescent="0.3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3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x14ac:dyDescent="0.3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x14ac:dyDescent="0.3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x14ac:dyDescent="0.3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x14ac:dyDescent="0.3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x14ac:dyDescent="0.3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x14ac:dyDescent="0.3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x14ac:dyDescent="0.3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x14ac:dyDescent="0.3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x14ac:dyDescent="0.3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x14ac:dyDescent="0.3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x14ac:dyDescent="0.3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x14ac:dyDescent="0.3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x14ac:dyDescent="0.3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x14ac:dyDescent="0.3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x14ac:dyDescent="0.3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x14ac:dyDescent="0.3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x14ac:dyDescent="0.3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x14ac:dyDescent="0.3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x14ac:dyDescent="0.3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x14ac:dyDescent="0.3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x14ac:dyDescent="0.3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Y100"/>
  <sheetViews>
    <sheetView workbookViewId="0">
      <selection activeCell="B5" sqref="B5"/>
    </sheetView>
  </sheetViews>
  <sheetFormatPr defaultRowHeight="14.5" x14ac:dyDescent="0.35"/>
  <cols>
    <col min="1" max="1" width="23.7265625" bestFit="1" customWidth="1"/>
    <col min="2" max="2" width="16" bestFit="1" customWidth="1"/>
    <col min="3" max="3" width="10.7265625" bestFit="1" customWidth="1"/>
  </cols>
  <sheetData>
    <row r="1" spans="1:25" x14ac:dyDescent="0.35">
      <c r="A1" s="96" t="s">
        <v>43</v>
      </c>
      <c r="B1" s="76">
        <f>'Set up'!$B$8</f>
        <v>0</v>
      </c>
      <c r="C1" s="7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x14ac:dyDescent="0.35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x14ac:dyDescent="0.35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35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x14ac:dyDescent="0.35">
      <c r="A5" t="s">
        <v>34</v>
      </c>
      <c r="B5" s="128" t="s">
        <v>59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35">
      <c r="A6" t="str">
        <f>Calcs!S2</f>
        <v>As good as new</v>
      </c>
      <c r="B6">
        <f>Calcs!T2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x14ac:dyDescent="0.35">
      <c r="A7" t="str">
        <f>Calcs!S3</f>
        <v>Potentially reusable</v>
      </c>
      <c r="B7">
        <f>Calcs!T3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35">
      <c r="A8" t="str">
        <f>Calcs!S4</f>
        <v>Slight damage/Reparable</v>
      </c>
      <c r="B8">
        <f>Calcs!T4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x14ac:dyDescent="0.35">
      <c r="A9" t="str">
        <f>Calcs!S5</f>
        <v>Suitable for recycling</v>
      </c>
      <c r="B9">
        <f>Calcs!T5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35">
      <c r="A10" t="str">
        <f>Calcs!S6</f>
        <v>Mostly recyclable</v>
      </c>
      <c r="B10">
        <f>Calcs!T6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x14ac:dyDescent="0.35">
      <c r="A11" t="str">
        <f>Calcs!S7</f>
        <v>Disposal/Landfill</v>
      </c>
      <c r="B11">
        <f>Calcs!T7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3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x14ac:dyDescent="0.3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3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x14ac:dyDescent="0.3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3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x14ac:dyDescent="0.3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3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x14ac:dyDescent="0.3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3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3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x14ac:dyDescent="0.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3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x14ac:dyDescent="0.3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x14ac:dyDescent="0.3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x14ac:dyDescent="0.3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x14ac:dyDescent="0.3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3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x14ac:dyDescent="0.3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3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x14ac:dyDescent="0.3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3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x14ac:dyDescent="0.3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3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 x14ac:dyDescent="0.3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3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 x14ac:dyDescent="0.3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3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3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1:25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3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3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25" x14ac:dyDescent="0.3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 x14ac:dyDescent="0.3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3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 x14ac:dyDescent="0.3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spans="1:25" x14ac:dyDescent="0.3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x14ac:dyDescent="0.3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 x14ac:dyDescent="0.3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 x14ac:dyDescent="0.3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spans="1:25" x14ac:dyDescent="0.3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5" x14ac:dyDescent="0.3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spans="1:25" x14ac:dyDescent="0.3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spans="1:25" x14ac:dyDescent="0.3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spans="1:25" x14ac:dyDescent="0.3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x14ac:dyDescent="0.3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 x14ac:dyDescent="0.3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 x14ac:dyDescent="0.3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 x14ac:dyDescent="0.3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x14ac:dyDescent="0.3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x14ac:dyDescent="0.3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 x14ac:dyDescent="0.3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 x14ac:dyDescent="0.3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 x14ac:dyDescent="0.3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 x14ac:dyDescent="0.3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x14ac:dyDescent="0.3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x14ac:dyDescent="0.3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 x14ac:dyDescent="0.3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x14ac:dyDescent="0.3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3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x14ac:dyDescent="0.3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3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x14ac:dyDescent="0.3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x14ac:dyDescent="0.3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spans="1:25" x14ac:dyDescent="0.3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x14ac:dyDescent="0.3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spans="1:25" x14ac:dyDescent="0.3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spans="1:25" x14ac:dyDescent="0.3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spans="1:25" x14ac:dyDescent="0.3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spans="1:25" x14ac:dyDescent="0.3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spans="1:25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spans="1:25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spans="1:25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spans="1:25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143"/>
  <sheetViews>
    <sheetView topLeftCell="A7" workbookViewId="0">
      <selection activeCell="G19" sqref="G19"/>
    </sheetView>
  </sheetViews>
  <sheetFormatPr defaultRowHeight="14.5" x14ac:dyDescent="0.35"/>
  <cols>
    <col min="1" max="1" width="82.453125" bestFit="1" customWidth="1"/>
    <col min="2" max="2" width="40.1796875" bestFit="1" customWidth="1"/>
    <col min="3" max="3" width="10.54296875" bestFit="1" customWidth="1"/>
    <col min="4" max="4" width="15.26953125" bestFit="1" customWidth="1"/>
    <col min="5" max="5" width="3" bestFit="1" customWidth="1"/>
    <col min="6" max="6" width="10.54296875" bestFit="1" customWidth="1"/>
    <col min="7" max="7" width="13.1796875" bestFit="1" customWidth="1"/>
  </cols>
  <sheetData>
    <row r="1" spans="1:7" x14ac:dyDescent="0.35">
      <c r="A1" s="74" t="s">
        <v>60</v>
      </c>
      <c r="B1" s="26"/>
      <c r="C1" s="26"/>
      <c r="D1" s="26"/>
      <c r="E1" s="26"/>
      <c r="F1" s="26"/>
      <c r="G1" s="26"/>
    </row>
    <row r="2" spans="1:7" x14ac:dyDescent="0.35">
      <c r="A2" s="26"/>
      <c r="B2" s="26"/>
      <c r="C2" s="26"/>
      <c r="D2" s="26"/>
      <c r="E2" s="26"/>
      <c r="F2" s="26"/>
      <c r="G2" s="26"/>
    </row>
    <row r="3" spans="1:7" x14ac:dyDescent="0.35">
      <c r="A3" s="83" t="str">
        <f>'Set up'!A8</f>
        <v>Company name</v>
      </c>
      <c r="B3" s="80">
        <f>'Set up'!B8</f>
        <v>0</v>
      </c>
      <c r="C3" s="26"/>
      <c r="D3" s="26"/>
      <c r="E3" s="26"/>
      <c r="F3" s="26"/>
      <c r="G3" s="26"/>
    </row>
    <row r="4" spans="1:7" x14ac:dyDescent="0.35">
      <c r="A4" s="83" t="str">
        <f>'Set up'!A9</f>
        <v>Your name</v>
      </c>
      <c r="B4" s="80">
        <f>'Set up'!B9</f>
        <v>0</v>
      </c>
      <c r="C4" s="26"/>
      <c r="D4" s="26"/>
      <c r="E4" s="26"/>
      <c r="F4" s="26"/>
      <c r="G4" s="26"/>
    </row>
    <row r="5" spans="1:7" x14ac:dyDescent="0.35">
      <c r="A5" s="83" t="str">
        <f>'Set up'!A10</f>
        <v>Site/location/reference</v>
      </c>
      <c r="B5" s="80">
        <f>'Set up'!B10</f>
        <v>0</v>
      </c>
      <c r="C5" s="26"/>
      <c r="D5" s="26"/>
      <c r="E5" s="26"/>
      <c r="F5" s="26"/>
      <c r="G5" s="26"/>
    </row>
    <row r="6" spans="1:7" x14ac:dyDescent="0.35">
      <c r="A6" s="80"/>
      <c r="B6" s="80"/>
      <c r="C6" s="26"/>
      <c r="D6" s="26"/>
      <c r="E6" s="26"/>
      <c r="F6" s="26"/>
      <c r="G6" s="26"/>
    </row>
    <row r="7" spans="1:7" x14ac:dyDescent="0.35">
      <c r="A7" s="83" t="str">
        <f>'Set up'!A12</f>
        <v>Construction type</v>
      </c>
      <c r="B7" s="80">
        <f>'Set up'!B12</f>
        <v>0</v>
      </c>
      <c r="C7" s="26"/>
      <c r="D7" s="26"/>
      <c r="E7" s="26"/>
      <c r="F7" s="26"/>
      <c r="G7" s="26"/>
    </row>
    <row r="8" spans="1:7" x14ac:dyDescent="0.35">
      <c r="A8" s="83" t="str">
        <f>'Set up'!A13</f>
        <v>Project type</v>
      </c>
      <c r="B8" s="80">
        <f>'Set up'!B13</f>
        <v>0</v>
      </c>
      <c r="C8" s="26"/>
      <c r="D8" s="26"/>
      <c r="E8" s="26"/>
      <c r="F8" s="26"/>
      <c r="G8" s="26"/>
    </row>
    <row r="9" spans="1:7" x14ac:dyDescent="0.35">
      <c r="A9" s="83" t="str">
        <f>'Set up'!A14</f>
        <v>Project phase</v>
      </c>
      <c r="B9" s="80">
        <f>'Set up'!B14</f>
        <v>0</v>
      </c>
      <c r="C9" s="26"/>
      <c r="D9" s="26"/>
      <c r="E9" s="26"/>
      <c r="F9" s="26"/>
      <c r="G9" s="26"/>
    </row>
    <row r="10" spans="1:7" x14ac:dyDescent="0.35">
      <c r="A10" s="83" t="str">
        <f>'Set up'!A15</f>
        <v>Season</v>
      </c>
      <c r="B10" s="80">
        <f>'Set up'!B15</f>
        <v>0</v>
      </c>
      <c r="C10" s="26"/>
      <c r="D10" s="26"/>
      <c r="E10" s="26"/>
      <c r="F10" s="26"/>
      <c r="G10" s="26"/>
    </row>
    <row r="11" spans="1:7" x14ac:dyDescent="0.35">
      <c r="A11" s="83" t="str">
        <f>'Set up'!A16</f>
        <v>Weather</v>
      </c>
      <c r="B11" s="80">
        <f>'Set up'!B16</f>
        <v>0</v>
      </c>
      <c r="C11" s="26"/>
      <c r="D11" s="26"/>
      <c r="E11" s="26"/>
      <c r="F11" s="26"/>
      <c r="G11" s="26"/>
    </row>
    <row r="12" spans="1:7" x14ac:dyDescent="0.35">
      <c r="A12" s="80"/>
      <c r="B12" s="80"/>
      <c r="C12" s="26"/>
      <c r="D12" s="26"/>
      <c r="E12" s="26"/>
      <c r="F12" s="26"/>
      <c r="G12" s="26"/>
    </row>
    <row r="13" spans="1:7" x14ac:dyDescent="0.35">
      <c r="A13" s="83" t="str">
        <f>'Set up'!A18</f>
        <v>Distance to skip</v>
      </c>
      <c r="B13" s="80">
        <f>MAX('Set up'!B22,'Set up'!B23)</f>
        <v>0</v>
      </c>
      <c r="C13" s="26"/>
      <c r="D13" s="26"/>
      <c r="E13" s="26"/>
      <c r="F13" s="26"/>
      <c r="G13" s="26"/>
    </row>
    <row r="14" spans="1:7" x14ac:dyDescent="0.35">
      <c r="A14" s="83" t="str">
        <f>'Set up'!A25</f>
        <v>Size of skip sampled</v>
      </c>
      <c r="B14" s="80">
        <f>'Set up'!B25</f>
        <v>8</v>
      </c>
      <c r="C14" s="26"/>
      <c r="D14" s="26"/>
      <c r="E14" s="26"/>
      <c r="F14" s="26"/>
      <c r="G14" s="26"/>
    </row>
    <row r="15" spans="1:7" x14ac:dyDescent="0.35">
      <c r="A15" s="26"/>
      <c r="B15" s="26"/>
      <c r="C15" s="26"/>
      <c r="D15" s="26"/>
      <c r="E15" s="26"/>
      <c r="F15" s="26"/>
      <c r="G15" s="26"/>
    </row>
    <row r="16" spans="1:7" x14ac:dyDescent="0.35">
      <c r="A16" s="74" t="s">
        <v>61</v>
      </c>
      <c r="B16" s="26"/>
      <c r="C16" s="26"/>
      <c r="D16" s="26"/>
      <c r="E16" s="26"/>
      <c r="F16" s="26"/>
      <c r="G16" s="26"/>
    </row>
    <row r="17" spans="1:7" x14ac:dyDescent="0.35">
      <c r="A17" s="80" t="str">
        <f>'Dashboard Costs'!A1</f>
        <v>Overview of costs                                                                                                       Volume (m3) of sample:</v>
      </c>
      <c r="B17" s="81">
        <f>'Dashboard Costs'!B1</f>
        <v>0</v>
      </c>
      <c r="C17" s="80" t="str">
        <f>'Dashboard Costs'!C1</f>
        <v>Per 1m3</v>
      </c>
      <c r="D17" s="80" t="str">
        <f>'Dashboard Costs'!D1</f>
        <v>For skip (Yards):</v>
      </c>
      <c r="E17" s="80">
        <f>'Dashboard Costs'!E1</f>
        <v>8</v>
      </c>
      <c r="F17" s="80" t="str">
        <f>'Dashboard Costs'!F1</f>
        <v>Alt. Skip</v>
      </c>
      <c r="G17" s="101" t="s">
        <v>62</v>
      </c>
    </row>
    <row r="18" spans="1:7" x14ac:dyDescent="0.35">
      <c r="A18" s="80" t="str">
        <f>'Dashboard Costs'!A2</f>
        <v>Total Materials Costs</v>
      </c>
      <c r="B18" s="82">
        <f>'Dashboard Costs'!B2</f>
        <v>0</v>
      </c>
      <c r="C18" s="82" t="e">
        <f>'Dashboard Costs'!C2</f>
        <v>#DIV/0!</v>
      </c>
      <c r="D18" s="82" t="e">
        <f>'Dashboard Costs'!D2</f>
        <v>#DIV/0!</v>
      </c>
      <c r="E18" s="41"/>
      <c r="F18" s="82" t="e">
        <f>'Dashboard Costs'!F2</f>
        <v>#DIV/0!</v>
      </c>
      <c r="G18" s="101" t="e">
        <f>C18*5</f>
        <v>#DIV/0!</v>
      </c>
    </row>
    <row r="19" spans="1:7" x14ac:dyDescent="0.35">
      <c r="A19" s="80" t="str">
        <f>'Dashboard Costs'!A3</f>
        <v>Total Labour Costs</v>
      </c>
      <c r="B19" s="82">
        <f>'Dashboard Costs'!B3</f>
        <v>0</v>
      </c>
      <c r="C19" s="82" t="e">
        <f>'Dashboard Costs'!C3</f>
        <v>#DIV/0!</v>
      </c>
      <c r="D19" s="82">
        <f>'Dashboard Costs'!D3</f>
        <v>0</v>
      </c>
      <c r="E19" s="41"/>
      <c r="F19" s="82">
        <f>'Dashboard Costs'!F3</f>
        <v>0</v>
      </c>
      <c r="G19" s="102">
        <f>Calcs!H39+(Costs!AM2*24)</f>
        <v>0</v>
      </c>
    </row>
    <row r="20" spans="1:7" x14ac:dyDescent="0.35">
      <c r="A20" s="80" t="str">
        <f>'Dashboard Costs'!A4</f>
        <v>Skip Hire Cost (mixed)</v>
      </c>
      <c r="B20" s="82">
        <f>'Dashboard Costs'!B4</f>
        <v>178.33333333333334</v>
      </c>
      <c r="C20" s="82">
        <f>'Dashboard Costs'!C4</f>
        <v>35.666666666666671</v>
      </c>
      <c r="D20" s="82">
        <f>'Dashboard Costs'!D4</f>
        <v>178.33333333333334</v>
      </c>
      <c r="E20" s="41"/>
      <c r="F20" s="82">
        <f>'Dashboard Costs'!F4</f>
        <v>0</v>
      </c>
      <c r="G20" s="102">
        <f>Lists!O2</f>
        <v>178.33333333333334</v>
      </c>
    </row>
    <row r="21" spans="1:7" x14ac:dyDescent="0.35">
      <c r="A21" s="80" t="str">
        <f>'Dashboard Costs'!A5</f>
        <v>Total (excl. VAT)</v>
      </c>
      <c r="B21" s="82">
        <f>'Dashboard Costs'!B5</f>
        <v>178.33333333333334</v>
      </c>
      <c r="C21" s="82" t="e">
        <f>'Dashboard Costs'!C5</f>
        <v>#DIV/0!</v>
      </c>
      <c r="D21" s="82" t="e">
        <f>'Dashboard Costs'!D5</f>
        <v>#DIV/0!</v>
      </c>
      <c r="E21" s="41"/>
      <c r="F21" s="82" t="e">
        <f>'Dashboard Costs'!F5</f>
        <v>#DIV/0!</v>
      </c>
      <c r="G21" s="101" t="e">
        <f>SUM(G18:G20)</f>
        <v>#DIV/0!</v>
      </c>
    </row>
    <row r="22" spans="1:7" x14ac:dyDescent="0.35">
      <c r="A22" s="80" t="str">
        <f>'Dashboard Costs'!A6</f>
        <v>VAT</v>
      </c>
      <c r="B22" s="82">
        <f>'Dashboard Costs'!B6</f>
        <v>35.666666666666671</v>
      </c>
      <c r="C22" s="82" t="e">
        <f>'Dashboard Costs'!C6</f>
        <v>#DIV/0!</v>
      </c>
      <c r="D22" s="82" t="e">
        <f>'Dashboard Costs'!D6</f>
        <v>#DIV/0!</v>
      </c>
      <c r="E22" s="41"/>
      <c r="F22" s="82" t="e">
        <f>'Dashboard Costs'!F6</f>
        <v>#DIV/0!</v>
      </c>
      <c r="G22" s="101" t="e">
        <f>G21*0.2</f>
        <v>#DIV/0!</v>
      </c>
    </row>
    <row r="23" spans="1:7" x14ac:dyDescent="0.35">
      <c r="A23" s="80" t="str">
        <f>'Dashboard Costs'!A7</f>
        <v>Grand Total</v>
      </c>
      <c r="B23" s="82">
        <f>'Dashboard Costs'!B7</f>
        <v>214</v>
      </c>
      <c r="C23" s="82" t="e">
        <f>'Dashboard Costs'!C7</f>
        <v>#DIV/0!</v>
      </c>
      <c r="D23" s="82" t="e">
        <f>'Dashboard Costs'!D7</f>
        <v>#DIV/0!</v>
      </c>
      <c r="E23" s="41"/>
      <c r="F23" s="82" t="e">
        <f>'Dashboard Costs'!F7</f>
        <v>#DIV/0!</v>
      </c>
      <c r="G23" s="101" t="e">
        <f>SUM(G21:G22)</f>
        <v>#DIV/0!</v>
      </c>
    </row>
    <row r="24" spans="1:7" x14ac:dyDescent="0.35">
      <c r="A24" s="26"/>
      <c r="B24" s="26"/>
      <c r="C24" s="26"/>
      <c r="D24" s="26"/>
      <c r="E24" s="26"/>
      <c r="F24" s="26"/>
      <c r="G24" s="26"/>
    </row>
    <row r="25" spans="1:7" x14ac:dyDescent="0.35">
      <c r="A25" s="74" t="s">
        <v>63</v>
      </c>
      <c r="B25" s="26"/>
      <c r="C25" s="26"/>
      <c r="D25" s="26"/>
      <c r="E25" s="26"/>
      <c r="F25" s="26"/>
      <c r="G25" s="26"/>
    </row>
    <row r="26" spans="1:7" x14ac:dyDescent="0.35">
      <c r="A26" s="83" t="s">
        <v>64</v>
      </c>
      <c r="B26" s="85" t="s">
        <v>54</v>
      </c>
      <c r="C26" s="99" t="s">
        <v>65</v>
      </c>
      <c r="D26" s="26"/>
      <c r="E26" s="26"/>
      <c r="F26" s="26"/>
      <c r="G26" s="26"/>
    </row>
    <row r="27" spans="1:7" x14ac:dyDescent="0.35">
      <c r="A27" s="80" t="str">
        <f>IF(ISBLANK(Calcs!A2),#N/A,Calcs!A2)</f>
        <v>Insulation</v>
      </c>
      <c r="B27" s="82">
        <f>IF(ISBLANK(Calcs!B2),#N/A,Calcs!B2)</f>
        <v>0</v>
      </c>
      <c r="C27" s="100" t="str">
        <f>Lists!B2</f>
        <v>17-06-04</v>
      </c>
      <c r="D27" s="26"/>
      <c r="E27" s="26"/>
      <c r="F27" s="26"/>
      <c r="G27" s="26"/>
    </row>
    <row r="28" spans="1:7" x14ac:dyDescent="0.35">
      <c r="A28" s="80" t="str">
        <f>IF(ISBLANK(Calcs!A3),#N/A,Calcs!A3)</f>
        <v>Concrete</v>
      </c>
      <c r="B28" s="82">
        <f>IF(ISBLANK(Calcs!B3),#N/A,Calcs!B3)</f>
        <v>0</v>
      </c>
      <c r="C28" s="100" t="str">
        <f>Lists!B3</f>
        <v>17-01-01</v>
      </c>
      <c r="D28" s="26"/>
      <c r="E28" s="26"/>
      <c r="F28" s="26"/>
      <c r="G28" s="26"/>
    </row>
    <row r="29" spans="1:7" x14ac:dyDescent="0.35">
      <c r="A29" s="80" t="str">
        <f>IF(ISBLANK(Calcs!A4),#N/A,Calcs!A4)</f>
        <v>Bricks</v>
      </c>
      <c r="B29" s="82">
        <f>IF(ISBLANK(Calcs!B4),#N/A,Calcs!B4)</f>
        <v>0</v>
      </c>
      <c r="C29" s="100" t="str">
        <f>Lists!B4</f>
        <v>17-01-02</v>
      </c>
      <c r="D29" s="26"/>
      <c r="E29" s="26"/>
      <c r="F29" s="26"/>
      <c r="G29" s="26"/>
    </row>
    <row r="30" spans="1:7" x14ac:dyDescent="0.35">
      <c r="A30" s="80" t="str">
        <f>IF(ISBLANK(Calcs!A5),#N/A,Calcs!A5)</f>
        <v>Tiles_and_ceramics</v>
      </c>
      <c r="B30" s="82">
        <f>IF(ISBLANK(Calcs!B5),#N/A,Calcs!B5)</f>
        <v>0</v>
      </c>
      <c r="C30" s="100" t="str">
        <f>Lists!B5</f>
        <v>17-01-03</v>
      </c>
      <c r="D30" s="26"/>
      <c r="E30" s="26"/>
      <c r="F30" s="26"/>
      <c r="G30" s="26"/>
    </row>
    <row r="31" spans="1:7" x14ac:dyDescent="0.35">
      <c r="A31" s="80" t="str">
        <f>IF(ISBLANK(Calcs!A6),#N/A,Calcs!A6)</f>
        <v>Concrete_bricks_tiles_and_ceramics_in_mixtures</v>
      </c>
      <c r="B31" s="82">
        <f>IF(ISBLANK(Calcs!B6),#N/A,Calcs!B6)</f>
        <v>0</v>
      </c>
      <c r="C31" s="100" t="str">
        <f>Lists!B6</f>
        <v>17-01-07</v>
      </c>
      <c r="D31" s="26"/>
      <c r="E31" s="26"/>
      <c r="F31" s="26"/>
      <c r="G31" s="26"/>
    </row>
    <row r="32" spans="1:7" x14ac:dyDescent="0.35">
      <c r="A32" s="80" t="str">
        <f>IF(ISBLANK(Calcs!A7),#N/A,Calcs!A7)</f>
        <v>Wood_untreated</v>
      </c>
      <c r="B32" s="82">
        <f>IF(ISBLANK(Calcs!B7),#N/A,Calcs!B7)</f>
        <v>0</v>
      </c>
      <c r="C32" s="100" t="str">
        <f>Lists!B7</f>
        <v>17-02-01</v>
      </c>
      <c r="D32" s="26"/>
      <c r="E32" s="26"/>
      <c r="F32" s="26"/>
      <c r="G32" s="26"/>
    </row>
    <row r="33" spans="1:7" x14ac:dyDescent="0.35">
      <c r="A33" s="80" t="str">
        <f>IF(ISBLANK(Calcs!A8),#N/A,Calcs!A8)</f>
        <v>Treated_wood_glass_plastic_including_wood_plastic_window_frames</v>
      </c>
      <c r="B33" s="82">
        <f>IF(ISBLANK(Calcs!B8),#N/A,Calcs!B8)</f>
        <v>0</v>
      </c>
      <c r="C33" s="100" t="str">
        <f>Lists!B8</f>
        <v>17-02-04</v>
      </c>
      <c r="D33" s="26"/>
      <c r="E33" s="26"/>
      <c r="F33" s="26"/>
      <c r="G33" s="26"/>
    </row>
    <row r="34" spans="1:7" x14ac:dyDescent="0.35">
      <c r="A34" s="80" t="str">
        <f>IF(ISBLANK(Calcs!A9),#N/A,Calcs!A9)</f>
        <v>Glass_uncontaminated</v>
      </c>
      <c r="B34" s="82">
        <f>IF(ISBLANK(Calcs!B9),#N/A,Calcs!B9)</f>
        <v>0</v>
      </c>
      <c r="C34" s="100" t="str">
        <f>Lists!B9</f>
        <v>17-02-02</v>
      </c>
      <c r="D34" s="26"/>
      <c r="E34" s="26"/>
      <c r="F34" s="26"/>
      <c r="G34" s="26"/>
    </row>
    <row r="35" spans="1:7" x14ac:dyDescent="0.35">
      <c r="A35" s="80" t="str">
        <f>IF(ISBLANK(Calcs!A10),#N/A,Calcs!A10)</f>
        <v>Plastic_excluding_packaging_waste</v>
      </c>
      <c r="B35" s="82">
        <f>IF(ISBLANK(Calcs!B10),#N/A,Calcs!B10)</f>
        <v>0</v>
      </c>
      <c r="C35" s="100" t="str">
        <f>Lists!B10</f>
        <v>17-02-03</v>
      </c>
      <c r="D35" s="26"/>
      <c r="E35" s="26"/>
      <c r="F35" s="26"/>
      <c r="G35" s="26"/>
    </row>
    <row r="36" spans="1:7" x14ac:dyDescent="0.35">
      <c r="A36" s="80" t="str">
        <f>IF(ISBLANK(Calcs!A11),#N/A,Calcs!A11)</f>
        <v>Bituminous_mixtures_containing_coal_tar</v>
      </c>
      <c r="B36" s="82">
        <f>IF(ISBLANK(Calcs!B11),#N/A,Calcs!B11)</f>
        <v>0</v>
      </c>
      <c r="C36" s="100" t="str">
        <f>Lists!B11</f>
        <v>17-03-01</v>
      </c>
      <c r="D36" s="26"/>
      <c r="E36" s="26"/>
      <c r="F36" s="26"/>
      <c r="G36" s="26"/>
    </row>
    <row r="37" spans="1:7" x14ac:dyDescent="0.35">
      <c r="A37" s="80" t="str">
        <f>IF(ISBLANK(Calcs!A12),#N/A,Calcs!A12)</f>
        <v>Other_bituminous_mixtures</v>
      </c>
      <c r="B37" s="82">
        <f>IF(ISBLANK(Calcs!B12),#N/A,Calcs!B12)</f>
        <v>0</v>
      </c>
      <c r="C37" s="100" t="str">
        <f>Lists!B12</f>
        <v>17-03-02</v>
      </c>
      <c r="D37" s="26"/>
      <c r="E37" s="26"/>
      <c r="F37" s="26"/>
      <c r="G37" s="26"/>
    </row>
    <row r="38" spans="1:7" x14ac:dyDescent="0.35">
      <c r="A38" s="80" t="str">
        <f>IF(ISBLANK(Calcs!A13),#N/A,Calcs!A13)</f>
        <v>Coal_tar_and_tarred_products</v>
      </c>
      <c r="B38" s="82">
        <f>IF(ISBLANK(Calcs!B13),#N/A,Calcs!B13)</f>
        <v>0</v>
      </c>
      <c r="C38" s="100" t="str">
        <f>Lists!B13</f>
        <v>17-03-03</v>
      </c>
      <c r="D38" s="26"/>
      <c r="E38" s="26"/>
      <c r="F38" s="26"/>
      <c r="G38" s="26"/>
    </row>
    <row r="39" spans="1:7" x14ac:dyDescent="0.35">
      <c r="A39" s="80" t="str">
        <f>IF(ISBLANK(Calcs!A14),#N/A,Calcs!A14)</f>
        <v>Copper_bronze_and_brass</v>
      </c>
      <c r="B39" s="82">
        <f>IF(ISBLANK(Calcs!B14),#N/A,Calcs!B14)</f>
        <v>0</v>
      </c>
      <c r="C39" s="100" t="str">
        <f>Lists!B14</f>
        <v>17-04-01</v>
      </c>
      <c r="D39" s="26"/>
      <c r="E39" s="26"/>
      <c r="F39" s="26"/>
      <c r="G39" s="26"/>
    </row>
    <row r="40" spans="1:7" x14ac:dyDescent="0.35">
      <c r="A40" s="80" t="str">
        <f>IF(ISBLANK(Calcs!A15),#N/A,Calcs!A15)</f>
        <v>Aluminium</v>
      </c>
      <c r="B40" s="82">
        <f>IF(ISBLANK(Calcs!B15),#N/A,Calcs!B15)</f>
        <v>0</v>
      </c>
      <c r="C40" s="100" t="str">
        <f>Lists!B15</f>
        <v>17-04-02</v>
      </c>
      <c r="D40" s="26"/>
      <c r="E40" s="26"/>
      <c r="F40" s="26"/>
      <c r="G40" s="26"/>
    </row>
    <row r="41" spans="1:7" x14ac:dyDescent="0.35">
      <c r="A41" s="80" t="str">
        <f>IF(ISBLANK(Calcs!A16),#N/A,Calcs!A16)</f>
        <v>Lead</v>
      </c>
      <c r="B41" s="82">
        <f>IF(ISBLANK(Calcs!B16),#N/A,Calcs!B16)</f>
        <v>0</v>
      </c>
      <c r="C41" s="100" t="str">
        <f>Lists!B16</f>
        <v>17-04-03</v>
      </c>
      <c r="D41" s="26"/>
      <c r="E41" s="26"/>
      <c r="F41" s="26"/>
      <c r="G41" s="26"/>
    </row>
    <row r="42" spans="1:7" x14ac:dyDescent="0.35">
      <c r="A42" s="80" t="str">
        <f>IF(ISBLANK(Calcs!A17),#N/A,Calcs!A17)</f>
        <v>Iron_and_steel</v>
      </c>
      <c r="B42" s="82">
        <f>IF(ISBLANK(Calcs!B17),#N/A,Calcs!B17)</f>
        <v>0</v>
      </c>
      <c r="C42" s="100" t="str">
        <f>Lists!B17</f>
        <v>17-04-05</v>
      </c>
      <c r="D42" s="26"/>
      <c r="E42" s="26"/>
      <c r="F42" s="26"/>
      <c r="G42" s="26"/>
    </row>
    <row r="43" spans="1:7" x14ac:dyDescent="0.35">
      <c r="A43" s="80" t="str">
        <f>IF(ISBLANK(Calcs!A18),#N/A,Calcs!A18)</f>
        <v>Tin</v>
      </c>
      <c r="B43" s="82">
        <f>IF(ISBLANK(Calcs!B18),#N/A,Calcs!B18)</f>
        <v>0</v>
      </c>
      <c r="C43" s="100" t="str">
        <f>Lists!B18</f>
        <v>17-04-06</v>
      </c>
      <c r="D43" s="26"/>
      <c r="E43" s="26"/>
      <c r="F43" s="26"/>
      <c r="G43" s="26"/>
    </row>
    <row r="44" spans="1:7" x14ac:dyDescent="0.35">
      <c r="A44" s="80" t="str">
        <f>IF(ISBLANK(Calcs!A19),#N/A,Calcs!A19)</f>
        <v>Mixed_metals</v>
      </c>
      <c r="B44" s="82">
        <f>IF(ISBLANK(Calcs!B19),#N/A,Calcs!B19)</f>
        <v>0</v>
      </c>
      <c r="C44" s="100" t="str">
        <f>Lists!B19</f>
        <v>17-04-07</v>
      </c>
      <c r="D44" s="26"/>
      <c r="E44" s="26"/>
      <c r="F44" s="26"/>
      <c r="G44" s="26"/>
    </row>
    <row r="45" spans="1:7" x14ac:dyDescent="0.35">
      <c r="A45" s="80" t="str">
        <f>IF(ISBLANK(Calcs!A20),#N/A,Calcs!A20)</f>
        <v>Cables</v>
      </c>
      <c r="B45" s="82">
        <f>IF(ISBLANK(Calcs!B20),#N/A,Calcs!B20)</f>
        <v>0</v>
      </c>
      <c r="C45" s="100" t="str">
        <f>Lists!B20</f>
        <v>17-04-11</v>
      </c>
      <c r="D45" s="26"/>
      <c r="E45" s="26"/>
      <c r="F45" s="26"/>
      <c r="G45" s="26"/>
    </row>
    <row r="46" spans="1:7" x14ac:dyDescent="0.35">
      <c r="A46" s="80" t="str">
        <f>IF(ISBLANK(Calcs!A21),#N/A,Calcs!A21)</f>
        <v>Inert_soil_and_stones</v>
      </c>
      <c r="B46" s="82">
        <f>IF(ISBLANK(Calcs!B21),#N/A,Calcs!B21)</f>
        <v>0</v>
      </c>
      <c r="C46" s="100" t="str">
        <f>Lists!B21</f>
        <v>17-05-03</v>
      </c>
      <c r="D46" s="26"/>
      <c r="E46" s="26"/>
      <c r="F46" s="26"/>
      <c r="G46" s="26"/>
    </row>
    <row r="47" spans="1:7" x14ac:dyDescent="0.35">
      <c r="A47" s="80" t="str">
        <f>IF(ISBLANK(Calcs!A22),#N/A,Calcs!A22)</f>
        <v>Dredging_spoil</v>
      </c>
      <c r="B47" s="82">
        <f>IF(ISBLANK(Calcs!B22),#N/A,Calcs!B22)</f>
        <v>0</v>
      </c>
      <c r="C47" s="100" t="str">
        <f>Lists!B22</f>
        <v>17-05-05</v>
      </c>
      <c r="D47" s="26"/>
      <c r="E47" s="26"/>
      <c r="F47" s="26"/>
      <c r="G47" s="26"/>
    </row>
    <row r="48" spans="1:7" x14ac:dyDescent="0.35">
      <c r="A48" s="80" t="str">
        <f>IF(ISBLANK(Calcs!A23),#N/A,Calcs!A23)</f>
        <v>Gypsum_materials</v>
      </c>
      <c r="B48" s="82">
        <f>IF(ISBLANK(Calcs!B23),#N/A,Calcs!B23)</f>
        <v>0</v>
      </c>
      <c r="C48" s="100" t="str">
        <f>Lists!B23</f>
        <v>17-08-02</v>
      </c>
      <c r="D48" s="26"/>
      <c r="E48" s="26"/>
      <c r="F48" s="26"/>
      <c r="G48" s="26"/>
    </row>
    <row r="49" spans="1:7" x14ac:dyDescent="0.35">
      <c r="A49" s="80" t="str">
        <f>IF(ISBLANK(Calcs!A24),#N/A,Calcs!A24)</f>
        <v>Unused_or_unset_cement</v>
      </c>
      <c r="B49" s="82">
        <f>IF(ISBLANK(Calcs!B24),#N/A,Calcs!B24)</f>
        <v>0</v>
      </c>
      <c r="C49" s="100" t="str">
        <f>Lists!B24</f>
        <v>17-09-03</v>
      </c>
      <c r="D49" s="26"/>
      <c r="E49" s="26"/>
      <c r="F49" s="26"/>
      <c r="G49" s="26"/>
    </row>
    <row r="50" spans="1:7" x14ac:dyDescent="0.35">
      <c r="A50" s="80" t="str">
        <f>IF(ISBLANK(Calcs!A25),#N/A,Calcs!A25)</f>
        <v>Mixed_construction_and_demolition_wastes</v>
      </c>
      <c r="B50" s="82">
        <f>IF(ISBLANK(Calcs!B25),#N/A,Calcs!B25)</f>
        <v>0</v>
      </c>
      <c r="C50" s="100" t="str">
        <f>Lists!B25</f>
        <v>17-09-04</v>
      </c>
      <c r="D50" s="26"/>
      <c r="E50" s="26"/>
      <c r="F50" s="26"/>
      <c r="G50" s="26"/>
    </row>
    <row r="51" spans="1:7" x14ac:dyDescent="0.35">
      <c r="A51" s="80" t="str">
        <f>IF(ISBLANK(Calcs!A26),#N/A,Calcs!A26)</f>
        <v>Paints_and_varnishes_Containing_organic_solvents_or_other_hazardous_substances</v>
      </c>
      <c r="B51" s="82">
        <f>IF(ISBLANK(Calcs!B26),#N/A,Calcs!B26)</f>
        <v>0</v>
      </c>
      <c r="C51" s="100" t="str">
        <f>Lists!B26</f>
        <v>08-01-11</v>
      </c>
      <c r="D51" s="26"/>
      <c r="E51" s="26"/>
      <c r="F51" s="26"/>
      <c r="G51" s="26"/>
    </row>
    <row r="52" spans="1:7" x14ac:dyDescent="0.35">
      <c r="A52" s="80" t="str">
        <f>IF(ISBLANK(Calcs!A27),#N/A,Calcs!A27)</f>
        <v>Paints_and_varnishes_Not_containing_organic_solvents_or_other_hazardous_substances</v>
      </c>
      <c r="B52" s="82">
        <f>IF(ISBLANK(Calcs!B27),#N/A,Calcs!B27)</f>
        <v>0</v>
      </c>
      <c r="C52" s="100" t="str">
        <f>Lists!B27</f>
        <v>08-01-12</v>
      </c>
      <c r="D52" s="26"/>
      <c r="E52" s="26"/>
      <c r="F52" s="26"/>
      <c r="G52" s="26"/>
    </row>
    <row r="53" spans="1:7" x14ac:dyDescent="0.35">
      <c r="A53" s="80" t="str">
        <f>IF(ISBLANK(Calcs!A28),#N/A,Calcs!A28)</f>
        <v>Packaging_Paper_and_Card</v>
      </c>
      <c r="B53" s="82">
        <f>IF(ISBLANK(Calcs!B28),#N/A,Calcs!B28)</f>
        <v>0</v>
      </c>
      <c r="C53" s="100" t="str">
        <f>Lists!B28</f>
        <v>15-01-01</v>
      </c>
      <c r="D53" s="26"/>
      <c r="E53" s="26"/>
      <c r="F53" s="26"/>
      <c r="G53" s="26"/>
    </row>
    <row r="54" spans="1:7" x14ac:dyDescent="0.35">
      <c r="A54" s="80" t="str">
        <f>IF(ISBLANK(Calcs!A29),#N/A,Calcs!A29)</f>
        <v>Packaging_Plastic</v>
      </c>
      <c r="B54" s="82">
        <f>IF(ISBLANK(Calcs!B29),#N/A,Calcs!B29)</f>
        <v>0</v>
      </c>
      <c r="C54" s="100" t="str">
        <f>Lists!B29</f>
        <v>15-01-02</v>
      </c>
      <c r="D54" s="26"/>
      <c r="E54" s="26"/>
      <c r="F54" s="26"/>
      <c r="G54" s="26"/>
    </row>
    <row r="55" spans="1:7" x14ac:dyDescent="0.35">
      <c r="A55" s="80" t="str">
        <f>IF(ISBLANK(Calcs!A30),#N/A,Calcs!A30)</f>
        <v>Packaging_wooden</v>
      </c>
      <c r="B55" s="82">
        <f>IF(ISBLANK(Calcs!B30),#N/A,Calcs!B30)</f>
        <v>0</v>
      </c>
      <c r="C55" s="100" t="str">
        <f>Lists!B30</f>
        <v>15-01-03</v>
      </c>
      <c r="D55" s="26"/>
      <c r="E55" s="26"/>
      <c r="F55" s="26"/>
      <c r="G55" s="26"/>
    </row>
    <row r="56" spans="1:7" x14ac:dyDescent="0.35">
      <c r="A56" s="80" t="str">
        <f>IF(ISBLANK(Calcs!A31),#N/A,Calcs!A31)</f>
        <v>Packaging_Metal</v>
      </c>
      <c r="B56" s="82">
        <f>IF(ISBLANK(Calcs!B31),#N/A,Calcs!B31)</f>
        <v>0</v>
      </c>
      <c r="C56" s="100" t="str">
        <f>Lists!B31</f>
        <v>15-01-04</v>
      </c>
      <c r="D56" s="26"/>
      <c r="E56" s="26"/>
      <c r="F56" s="26"/>
      <c r="G56" s="26"/>
    </row>
    <row r="57" spans="1:7" x14ac:dyDescent="0.35">
      <c r="A57" s="80" t="str">
        <f>IF(ISBLANK(Calcs!A32),#N/A,Calcs!A32)</f>
        <v>Packaging_Glass</v>
      </c>
      <c r="B57" s="82">
        <f>IF(ISBLANK(Calcs!B32),#N/A,Calcs!B32)</f>
        <v>0</v>
      </c>
      <c r="C57" s="100" t="str">
        <f>Lists!B32</f>
        <v>15-01-07</v>
      </c>
      <c r="D57" s="26"/>
      <c r="E57" s="26"/>
      <c r="F57" s="26"/>
      <c r="G57" s="26"/>
    </row>
    <row r="58" spans="1:7" x14ac:dyDescent="0.35">
      <c r="A58" s="80" t="str">
        <f>IF(ISBLANK(Calcs!A33),#N/A,Calcs!A33)</f>
        <v>Packaging_Textiles</v>
      </c>
      <c r="B58" s="82">
        <f>IF(ISBLANK(Calcs!B33),#N/A,Calcs!B33)</f>
        <v>0</v>
      </c>
      <c r="C58" s="100" t="str">
        <f>Lists!B33</f>
        <v>15-01-09</v>
      </c>
      <c r="D58" s="26"/>
      <c r="E58" s="26"/>
      <c r="F58" s="26"/>
      <c r="G58" s="26"/>
    </row>
    <row r="59" spans="1:7" x14ac:dyDescent="0.35">
      <c r="A59" s="80" t="str">
        <f>IF(ISBLANK(Calcs!A34),#N/A,Calcs!A34)</f>
        <v>Packaging_Paint_cans_Metal_Plastic</v>
      </c>
      <c r="B59" s="82">
        <f>IF(ISBLANK(Calcs!B34),#N/A,Calcs!B34)</f>
        <v>0</v>
      </c>
      <c r="C59" s="100" t="str">
        <f>Lists!B34</f>
        <v>15-01-10</v>
      </c>
      <c r="D59" s="26"/>
      <c r="E59" s="26"/>
      <c r="F59" s="26"/>
      <c r="G59" s="26"/>
    </row>
    <row r="60" spans="1:7" x14ac:dyDescent="0.35">
      <c r="A60" s="80" t="str">
        <f>IF(ISBLANK(Calcs!A35),#N/A,Calcs!A35)</f>
        <v>Other_Each</v>
      </c>
      <c r="B60" s="82">
        <f>IF(ISBLANK(Calcs!B35),#N/A,Calcs!B35)</f>
        <v>0</v>
      </c>
      <c r="C60" s="98"/>
      <c r="D60" s="26"/>
      <c r="E60" s="26"/>
      <c r="F60" s="26"/>
      <c r="G60" s="26"/>
    </row>
    <row r="61" spans="1:7" x14ac:dyDescent="0.35">
      <c r="A61" s="80" t="str">
        <f>IF(ISBLANK(Calcs!A36),#N/A,Calcs!A36)</f>
        <v>Other_Linear_meter</v>
      </c>
      <c r="B61" s="82">
        <f>IF(ISBLANK(Calcs!B36),#N/A,Calcs!B36)</f>
        <v>0</v>
      </c>
      <c r="C61" s="98"/>
      <c r="D61" s="26"/>
      <c r="E61" s="26"/>
      <c r="F61" s="26"/>
      <c r="G61" s="26"/>
    </row>
    <row r="62" spans="1:7" x14ac:dyDescent="0.35">
      <c r="A62" s="80" t="str">
        <f>IF(ISBLANK(Calcs!A37),#N/A,Calcs!A37)</f>
        <v>Other_Square_meter</v>
      </c>
      <c r="B62" s="82">
        <f>IF(ISBLANK(Calcs!B37),#N/A,Calcs!B37)</f>
        <v>0</v>
      </c>
      <c r="C62" s="98"/>
      <c r="D62" s="26"/>
      <c r="E62" s="26"/>
      <c r="F62" s="26"/>
      <c r="G62" s="26"/>
    </row>
    <row r="63" spans="1:7" x14ac:dyDescent="0.35">
      <c r="A63" s="80" t="str">
        <f>IF(ISBLANK(Calcs!A38),#N/A,Calcs!A38)</f>
        <v>Other_Volume_cubic_meter</v>
      </c>
      <c r="B63" s="82">
        <f>IF(ISBLANK(Calcs!B38),#N/A,Calcs!B38)</f>
        <v>0</v>
      </c>
      <c r="C63" s="98"/>
      <c r="D63" s="26"/>
      <c r="E63" s="26"/>
      <c r="F63" s="26"/>
      <c r="G63" s="26"/>
    </row>
    <row r="64" spans="1:7" x14ac:dyDescent="0.35">
      <c r="A64" s="83" t="s">
        <v>66</v>
      </c>
      <c r="B64" s="84">
        <f>SUM(B27:B63)</f>
        <v>0</v>
      </c>
      <c r="C64" s="26"/>
      <c r="D64" s="26"/>
      <c r="E64" s="26"/>
      <c r="F64" s="26"/>
      <c r="G64" s="26"/>
    </row>
    <row r="65" spans="1:7" x14ac:dyDescent="0.35">
      <c r="A65" s="80" t="s">
        <v>67</v>
      </c>
      <c r="B65" s="41">
        <f>Calcs!E41</f>
        <v>0</v>
      </c>
      <c r="C65" s="26"/>
      <c r="D65" s="26"/>
      <c r="E65" s="26"/>
      <c r="F65" s="26"/>
      <c r="G65" s="26"/>
    </row>
    <row r="66" spans="1:7" x14ac:dyDescent="0.35">
      <c r="A66" s="83" t="s">
        <v>68</v>
      </c>
      <c r="B66" s="84">
        <f>B64+B65</f>
        <v>0</v>
      </c>
      <c r="C66" s="26"/>
      <c r="D66" s="26"/>
      <c r="E66" s="26"/>
      <c r="F66" s="26"/>
      <c r="G66" s="26"/>
    </row>
    <row r="67" spans="1:7" x14ac:dyDescent="0.35">
      <c r="A67" s="26"/>
      <c r="B67" s="26"/>
      <c r="C67" s="26"/>
      <c r="D67" s="26"/>
      <c r="E67" s="26"/>
      <c r="F67" s="26"/>
      <c r="G67" s="26"/>
    </row>
    <row r="68" spans="1:7" x14ac:dyDescent="0.35">
      <c r="A68" s="74" t="s">
        <v>69</v>
      </c>
      <c r="B68" s="26"/>
      <c r="C68" s="26"/>
      <c r="D68" s="26"/>
      <c r="E68" s="26"/>
      <c r="F68" s="26"/>
      <c r="G68" s="26"/>
    </row>
    <row r="69" spans="1:7" x14ac:dyDescent="0.35">
      <c r="A69" s="83" t="s">
        <v>55</v>
      </c>
      <c r="B69" s="85" t="s">
        <v>56</v>
      </c>
      <c r="C69" s="83" t="s">
        <v>57</v>
      </c>
      <c r="D69" s="99" t="s">
        <v>65</v>
      </c>
      <c r="E69" s="26"/>
      <c r="F69" s="26"/>
      <c r="G69" s="26"/>
    </row>
    <row r="70" spans="1:7" x14ac:dyDescent="0.35">
      <c r="A70" s="80" t="str">
        <f>Calcs!A2</f>
        <v>Insulation</v>
      </c>
      <c r="B70" s="80">
        <f>Calcs!N2</f>
        <v>0</v>
      </c>
      <c r="C70" s="80">
        <f>Calcs!O2</f>
        <v>0</v>
      </c>
      <c r="D70" s="100" t="str">
        <f>Lists!B2</f>
        <v>17-06-04</v>
      </c>
      <c r="E70" s="26"/>
      <c r="F70" s="26"/>
      <c r="G70" s="26"/>
    </row>
    <row r="71" spans="1:7" x14ac:dyDescent="0.35">
      <c r="A71" s="80" t="str">
        <f>Calcs!A3</f>
        <v>Concrete</v>
      </c>
      <c r="B71" s="80">
        <f>Calcs!N3</f>
        <v>0</v>
      </c>
      <c r="C71" s="80">
        <f>Calcs!O3</f>
        <v>0</v>
      </c>
      <c r="D71" s="100" t="str">
        <f>Lists!B3</f>
        <v>17-01-01</v>
      </c>
      <c r="E71" s="26"/>
      <c r="F71" s="26"/>
      <c r="G71" s="26"/>
    </row>
    <row r="72" spans="1:7" x14ac:dyDescent="0.35">
      <c r="A72" s="80" t="str">
        <f>Calcs!A4</f>
        <v>Bricks</v>
      </c>
      <c r="B72" s="80">
        <f>Calcs!N4</f>
        <v>0</v>
      </c>
      <c r="C72" s="80">
        <f>Calcs!O4</f>
        <v>0</v>
      </c>
      <c r="D72" s="100" t="str">
        <f>Lists!B4</f>
        <v>17-01-02</v>
      </c>
      <c r="E72" s="26"/>
      <c r="F72" s="26"/>
      <c r="G72" s="26"/>
    </row>
    <row r="73" spans="1:7" x14ac:dyDescent="0.35">
      <c r="A73" s="80" t="str">
        <f>Calcs!A5</f>
        <v>Tiles_and_ceramics</v>
      </c>
      <c r="B73" s="80">
        <f>Calcs!N5</f>
        <v>0</v>
      </c>
      <c r="C73" s="80">
        <f>Calcs!O5</f>
        <v>0</v>
      </c>
      <c r="D73" s="100" t="str">
        <f>Lists!B5</f>
        <v>17-01-03</v>
      </c>
      <c r="E73" s="26"/>
      <c r="F73" s="26"/>
      <c r="G73" s="26"/>
    </row>
    <row r="74" spans="1:7" x14ac:dyDescent="0.35">
      <c r="A74" s="80" t="str">
        <f>Calcs!A6</f>
        <v>Concrete_bricks_tiles_and_ceramics_in_mixtures</v>
      </c>
      <c r="B74" s="80">
        <f>Calcs!N6</f>
        <v>0</v>
      </c>
      <c r="C74" s="80">
        <f>Calcs!O6</f>
        <v>0</v>
      </c>
      <c r="D74" s="100" t="str">
        <f>Lists!B6</f>
        <v>17-01-07</v>
      </c>
      <c r="E74" s="26"/>
      <c r="F74" s="26"/>
      <c r="G74" s="26"/>
    </row>
    <row r="75" spans="1:7" x14ac:dyDescent="0.35">
      <c r="A75" s="80" t="str">
        <f>Calcs!A7</f>
        <v>Wood_untreated</v>
      </c>
      <c r="B75" s="80">
        <f>Calcs!N7</f>
        <v>0</v>
      </c>
      <c r="C75" s="80">
        <f>Calcs!O7</f>
        <v>0</v>
      </c>
      <c r="D75" s="100" t="str">
        <f>Lists!B7</f>
        <v>17-02-01</v>
      </c>
      <c r="E75" s="26"/>
      <c r="F75" s="26"/>
      <c r="G75" s="26"/>
    </row>
    <row r="76" spans="1:7" x14ac:dyDescent="0.35">
      <c r="A76" s="80" t="str">
        <f>Calcs!A8</f>
        <v>Treated_wood_glass_plastic_including_wood_plastic_window_frames</v>
      </c>
      <c r="B76" s="80">
        <f>Calcs!N8</f>
        <v>0</v>
      </c>
      <c r="C76" s="80">
        <f>Calcs!O8</f>
        <v>0</v>
      </c>
      <c r="D76" s="100" t="str">
        <f>Lists!B8</f>
        <v>17-02-04</v>
      </c>
      <c r="E76" s="26"/>
      <c r="F76" s="26"/>
      <c r="G76" s="26"/>
    </row>
    <row r="77" spans="1:7" x14ac:dyDescent="0.35">
      <c r="A77" s="80" t="str">
        <f>Calcs!A9</f>
        <v>Glass_uncontaminated</v>
      </c>
      <c r="B77" s="80">
        <f>Calcs!N9</f>
        <v>0</v>
      </c>
      <c r="C77" s="80">
        <f>Calcs!O9</f>
        <v>0</v>
      </c>
      <c r="D77" s="100" t="str">
        <f>Lists!B9</f>
        <v>17-02-02</v>
      </c>
      <c r="E77" s="26"/>
      <c r="F77" s="26"/>
      <c r="G77" s="26"/>
    </row>
    <row r="78" spans="1:7" x14ac:dyDescent="0.35">
      <c r="A78" s="80" t="str">
        <f>Calcs!A10</f>
        <v>Plastic_excluding_packaging_waste</v>
      </c>
      <c r="B78" s="80">
        <f>Calcs!N10</f>
        <v>0</v>
      </c>
      <c r="C78" s="80">
        <f>Calcs!O10</f>
        <v>0</v>
      </c>
      <c r="D78" s="100" t="str">
        <f>Lists!B10</f>
        <v>17-02-03</v>
      </c>
      <c r="E78" s="26"/>
      <c r="F78" s="26"/>
      <c r="G78" s="26"/>
    </row>
    <row r="79" spans="1:7" x14ac:dyDescent="0.35">
      <c r="A79" s="80" t="str">
        <f>Calcs!A11</f>
        <v>Bituminous_mixtures_containing_coal_tar</v>
      </c>
      <c r="B79" s="80">
        <f>Calcs!N11</f>
        <v>0</v>
      </c>
      <c r="C79" s="80">
        <f>Calcs!O11</f>
        <v>0</v>
      </c>
      <c r="D79" s="100" t="str">
        <f>Lists!B11</f>
        <v>17-03-01</v>
      </c>
      <c r="E79" s="26"/>
      <c r="F79" s="26"/>
      <c r="G79" s="26"/>
    </row>
    <row r="80" spans="1:7" x14ac:dyDescent="0.35">
      <c r="A80" s="80" t="str">
        <f>Calcs!A12</f>
        <v>Other_bituminous_mixtures</v>
      </c>
      <c r="B80" s="80">
        <f>Calcs!N12</f>
        <v>0</v>
      </c>
      <c r="C80" s="80">
        <f>Calcs!O12</f>
        <v>0</v>
      </c>
      <c r="D80" s="100" t="str">
        <f>Lists!B12</f>
        <v>17-03-02</v>
      </c>
      <c r="E80" s="26"/>
      <c r="F80" s="26"/>
      <c r="G80" s="26"/>
    </row>
    <row r="81" spans="1:7" x14ac:dyDescent="0.35">
      <c r="A81" s="80" t="str">
        <f>Calcs!A13</f>
        <v>Coal_tar_and_tarred_products</v>
      </c>
      <c r="B81" s="80">
        <f>Calcs!N13</f>
        <v>0</v>
      </c>
      <c r="C81" s="80">
        <f>Calcs!O13</f>
        <v>0</v>
      </c>
      <c r="D81" s="100" t="str">
        <f>Lists!B13</f>
        <v>17-03-03</v>
      </c>
      <c r="E81" s="26"/>
      <c r="F81" s="26"/>
      <c r="G81" s="26"/>
    </row>
    <row r="82" spans="1:7" x14ac:dyDescent="0.35">
      <c r="A82" s="80" t="str">
        <f>Calcs!A14</f>
        <v>Copper_bronze_and_brass</v>
      </c>
      <c r="B82" s="80">
        <f>Calcs!N14</f>
        <v>0</v>
      </c>
      <c r="C82" s="80">
        <f>Calcs!O14</f>
        <v>0</v>
      </c>
      <c r="D82" s="100" t="str">
        <f>Lists!B14</f>
        <v>17-04-01</v>
      </c>
      <c r="E82" s="26"/>
      <c r="F82" s="26"/>
      <c r="G82" s="26"/>
    </row>
    <row r="83" spans="1:7" x14ac:dyDescent="0.35">
      <c r="A83" s="80" t="str">
        <f>Calcs!A15</f>
        <v>Aluminium</v>
      </c>
      <c r="B83" s="80">
        <f>Calcs!N15</f>
        <v>0</v>
      </c>
      <c r="C83" s="80">
        <f>Calcs!O15</f>
        <v>0</v>
      </c>
      <c r="D83" s="100" t="str">
        <f>Lists!B15</f>
        <v>17-04-02</v>
      </c>
      <c r="E83" s="26"/>
      <c r="F83" s="26"/>
      <c r="G83" s="26"/>
    </row>
    <row r="84" spans="1:7" x14ac:dyDescent="0.35">
      <c r="A84" s="80" t="str">
        <f>Calcs!A16</f>
        <v>Lead</v>
      </c>
      <c r="B84" s="80">
        <f>Calcs!N16</f>
        <v>0</v>
      </c>
      <c r="C84" s="80">
        <f>Calcs!O16</f>
        <v>0</v>
      </c>
      <c r="D84" s="100" t="str">
        <f>Lists!B16</f>
        <v>17-04-03</v>
      </c>
      <c r="E84" s="26"/>
      <c r="F84" s="26"/>
      <c r="G84" s="26"/>
    </row>
    <row r="85" spans="1:7" x14ac:dyDescent="0.35">
      <c r="A85" s="80" t="str">
        <f>Calcs!A17</f>
        <v>Iron_and_steel</v>
      </c>
      <c r="B85" s="80">
        <f>Calcs!N17</f>
        <v>0</v>
      </c>
      <c r="C85" s="80">
        <f>Calcs!O17</f>
        <v>0</v>
      </c>
      <c r="D85" s="100" t="str">
        <f>Lists!B17</f>
        <v>17-04-05</v>
      </c>
      <c r="E85" s="26"/>
      <c r="F85" s="26"/>
      <c r="G85" s="26"/>
    </row>
    <row r="86" spans="1:7" x14ac:dyDescent="0.35">
      <c r="A86" s="80" t="str">
        <f>Calcs!A18</f>
        <v>Tin</v>
      </c>
      <c r="B86" s="80">
        <f>Calcs!N18</f>
        <v>0</v>
      </c>
      <c r="C86" s="80">
        <f>Calcs!O18</f>
        <v>0</v>
      </c>
      <c r="D86" s="100" t="str">
        <f>Lists!B18</f>
        <v>17-04-06</v>
      </c>
      <c r="E86" s="26"/>
      <c r="F86" s="26"/>
      <c r="G86" s="26"/>
    </row>
    <row r="87" spans="1:7" x14ac:dyDescent="0.35">
      <c r="A87" s="80" t="str">
        <f>Calcs!A19</f>
        <v>Mixed_metals</v>
      </c>
      <c r="B87" s="80">
        <f>Calcs!N19</f>
        <v>0</v>
      </c>
      <c r="C87" s="80">
        <f>Calcs!O19</f>
        <v>0</v>
      </c>
      <c r="D87" s="100" t="str">
        <f>Lists!B19</f>
        <v>17-04-07</v>
      </c>
      <c r="E87" s="26"/>
      <c r="F87" s="26"/>
      <c r="G87" s="26"/>
    </row>
    <row r="88" spans="1:7" x14ac:dyDescent="0.35">
      <c r="A88" s="80" t="str">
        <f>Calcs!A20</f>
        <v>Cables</v>
      </c>
      <c r="B88" s="80">
        <f>Calcs!N20</f>
        <v>0</v>
      </c>
      <c r="C88" s="80">
        <f>Calcs!O20</f>
        <v>0</v>
      </c>
      <c r="D88" s="100" t="str">
        <f>Lists!B20</f>
        <v>17-04-11</v>
      </c>
      <c r="E88" s="26"/>
      <c r="F88" s="26"/>
      <c r="G88" s="26"/>
    </row>
    <row r="89" spans="1:7" x14ac:dyDescent="0.35">
      <c r="A89" s="80" t="str">
        <f>Calcs!A21</f>
        <v>Inert_soil_and_stones</v>
      </c>
      <c r="B89" s="80">
        <f>Calcs!N21</f>
        <v>0</v>
      </c>
      <c r="C89" s="80">
        <f>Calcs!O21</f>
        <v>0</v>
      </c>
      <c r="D89" s="100" t="str">
        <f>Lists!B21</f>
        <v>17-05-03</v>
      </c>
      <c r="E89" s="26"/>
      <c r="F89" s="26"/>
      <c r="G89" s="26"/>
    </row>
    <row r="90" spans="1:7" x14ac:dyDescent="0.35">
      <c r="A90" s="80" t="str">
        <f>Calcs!A22</f>
        <v>Dredging_spoil</v>
      </c>
      <c r="B90" s="80">
        <f>Calcs!N22</f>
        <v>0</v>
      </c>
      <c r="C90" s="80">
        <f>Calcs!O22</f>
        <v>0</v>
      </c>
      <c r="D90" s="100" t="str">
        <f>Lists!B22</f>
        <v>17-05-05</v>
      </c>
      <c r="E90" s="26"/>
      <c r="F90" s="26"/>
      <c r="G90" s="26"/>
    </row>
    <row r="91" spans="1:7" x14ac:dyDescent="0.35">
      <c r="A91" s="80" t="str">
        <f>Calcs!A23</f>
        <v>Gypsum_materials</v>
      </c>
      <c r="B91" s="80">
        <f>Calcs!N23</f>
        <v>0</v>
      </c>
      <c r="C91" s="80">
        <f>Calcs!O23</f>
        <v>0</v>
      </c>
      <c r="D91" s="100" t="str">
        <f>Lists!B23</f>
        <v>17-08-02</v>
      </c>
      <c r="E91" s="26"/>
      <c r="F91" s="26"/>
      <c r="G91" s="26"/>
    </row>
    <row r="92" spans="1:7" x14ac:dyDescent="0.35">
      <c r="A92" s="80" t="str">
        <f>Calcs!A24</f>
        <v>Unused_or_unset_cement</v>
      </c>
      <c r="B92" s="80">
        <f>Calcs!N24</f>
        <v>0</v>
      </c>
      <c r="C92" s="80">
        <f>Calcs!O24</f>
        <v>0</v>
      </c>
      <c r="D92" s="100" t="str">
        <f>Lists!B24</f>
        <v>17-09-03</v>
      </c>
      <c r="E92" s="26"/>
      <c r="F92" s="26"/>
      <c r="G92" s="26"/>
    </row>
    <row r="93" spans="1:7" x14ac:dyDescent="0.35">
      <c r="A93" s="80" t="str">
        <f>Calcs!A25</f>
        <v>Mixed_construction_and_demolition_wastes</v>
      </c>
      <c r="B93" s="80">
        <f>Calcs!N25</f>
        <v>0</v>
      </c>
      <c r="C93" s="80">
        <f>Calcs!O25</f>
        <v>0</v>
      </c>
      <c r="D93" s="100" t="str">
        <f>Lists!B25</f>
        <v>17-09-04</v>
      </c>
      <c r="E93" s="26"/>
      <c r="F93" s="26"/>
      <c r="G93" s="26"/>
    </row>
    <row r="94" spans="1:7" x14ac:dyDescent="0.35">
      <c r="A94" s="80" t="str">
        <f>Calcs!A26</f>
        <v>Paints_and_varnishes_Containing_organic_solvents_or_other_hazardous_substances</v>
      </c>
      <c r="B94" s="80">
        <f>Calcs!N26</f>
        <v>0</v>
      </c>
      <c r="C94" s="80">
        <f>Calcs!O26</f>
        <v>0</v>
      </c>
      <c r="D94" s="100" t="str">
        <f>Lists!B26</f>
        <v>08-01-11</v>
      </c>
      <c r="E94" s="26"/>
      <c r="F94" s="26"/>
      <c r="G94" s="26"/>
    </row>
    <row r="95" spans="1:7" x14ac:dyDescent="0.35">
      <c r="A95" s="80" t="str">
        <f>Calcs!A27</f>
        <v>Paints_and_varnishes_Not_containing_organic_solvents_or_other_hazardous_substances</v>
      </c>
      <c r="B95" s="80">
        <f>Calcs!N27</f>
        <v>0</v>
      </c>
      <c r="C95" s="80">
        <f>Calcs!O27</f>
        <v>0</v>
      </c>
      <c r="D95" s="100" t="str">
        <f>Lists!B27</f>
        <v>08-01-12</v>
      </c>
      <c r="E95" s="26"/>
      <c r="F95" s="26"/>
      <c r="G95" s="26"/>
    </row>
    <row r="96" spans="1:7" x14ac:dyDescent="0.35">
      <c r="A96" s="80" t="str">
        <f>Calcs!A28</f>
        <v>Packaging_Paper_and_Card</v>
      </c>
      <c r="B96" s="80">
        <f>Calcs!N28</f>
        <v>0</v>
      </c>
      <c r="C96" s="80">
        <f>Calcs!O28</f>
        <v>0</v>
      </c>
      <c r="D96" s="100" t="str">
        <f>Lists!B28</f>
        <v>15-01-01</v>
      </c>
      <c r="E96" s="26"/>
      <c r="F96" s="26"/>
      <c r="G96" s="26"/>
    </row>
    <row r="97" spans="1:7" x14ac:dyDescent="0.35">
      <c r="A97" s="80" t="str">
        <f>Calcs!A29</f>
        <v>Packaging_Plastic</v>
      </c>
      <c r="B97" s="80">
        <f>Calcs!N29</f>
        <v>0</v>
      </c>
      <c r="C97" s="80">
        <f>Calcs!O29</f>
        <v>0</v>
      </c>
      <c r="D97" s="100" t="str">
        <f>Lists!B29</f>
        <v>15-01-02</v>
      </c>
      <c r="E97" s="26"/>
      <c r="F97" s="26"/>
      <c r="G97" s="26"/>
    </row>
    <row r="98" spans="1:7" x14ac:dyDescent="0.35">
      <c r="A98" s="80" t="str">
        <f>Calcs!A30</f>
        <v>Packaging_wooden</v>
      </c>
      <c r="B98" s="80">
        <f>Calcs!N30</f>
        <v>0</v>
      </c>
      <c r="C98" s="80">
        <f>Calcs!O30</f>
        <v>0</v>
      </c>
      <c r="D98" s="100" t="str">
        <f>Lists!B30</f>
        <v>15-01-03</v>
      </c>
      <c r="E98" s="26"/>
      <c r="F98" s="26"/>
      <c r="G98" s="26"/>
    </row>
    <row r="99" spans="1:7" x14ac:dyDescent="0.35">
      <c r="A99" s="80" t="str">
        <f>Calcs!A31</f>
        <v>Packaging_Metal</v>
      </c>
      <c r="B99" s="80">
        <f>Calcs!N31</f>
        <v>0</v>
      </c>
      <c r="C99" s="80">
        <f>Calcs!O31</f>
        <v>0</v>
      </c>
      <c r="D99" s="100" t="str">
        <f>Lists!B31</f>
        <v>15-01-04</v>
      </c>
      <c r="E99" s="26"/>
      <c r="F99" s="26"/>
      <c r="G99" s="26"/>
    </row>
    <row r="100" spans="1:7" x14ac:dyDescent="0.35">
      <c r="A100" s="80" t="str">
        <f>Calcs!A32</f>
        <v>Packaging_Glass</v>
      </c>
      <c r="B100" s="80">
        <f>Calcs!N32</f>
        <v>0</v>
      </c>
      <c r="C100" s="80">
        <f>Calcs!O32</f>
        <v>0</v>
      </c>
      <c r="D100" s="100" t="str">
        <f>Lists!B32</f>
        <v>15-01-07</v>
      </c>
      <c r="E100" s="26"/>
      <c r="F100" s="26"/>
      <c r="G100" s="26"/>
    </row>
    <row r="101" spans="1:7" x14ac:dyDescent="0.35">
      <c r="A101" s="80" t="str">
        <f>Calcs!A33</f>
        <v>Packaging_Textiles</v>
      </c>
      <c r="B101" s="80">
        <f>Calcs!N33</f>
        <v>0</v>
      </c>
      <c r="C101" s="80">
        <f>Calcs!O33</f>
        <v>0</v>
      </c>
      <c r="D101" s="100" t="str">
        <f>Lists!B33</f>
        <v>15-01-09</v>
      </c>
      <c r="E101" s="26"/>
      <c r="F101" s="26"/>
      <c r="G101" s="26"/>
    </row>
    <row r="102" spans="1:7" x14ac:dyDescent="0.35">
      <c r="A102" s="80" t="str">
        <f>Calcs!A34</f>
        <v>Packaging_Paint_cans_Metal_Plastic</v>
      </c>
      <c r="B102" s="80">
        <f>Calcs!N34</f>
        <v>0</v>
      </c>
      <c r="C102" s="80">
        <f>Calcs!O34</f>
        <v>0</v>
      </c>
      <c r="D102" s="100" t="str">
        <f>Lists!B34</f>
        <v>15-01-10</v>
      </c>
      <c r="E102" s="26"/>
      <c r="F102" s="26"/>
      <c r="G102" s="26"/>
    </row>
    <row r="103" spans="1:7" x14ac:dyDescent="0.35">
      <c r="A103" s="80" t="str">
        <f>Calcs!A35</f>
        <v>Other_Each</v>
      </c>
      <c r="B103" s="80">
        <f>Calcs!N35</f>
        <v>0</v>
      </c>
      <c r="C103" s="80">
        <f>Calcs!O35</f>
        <v>0</v>
      </c>
      <c r="D103" s="98"/>
      <c r="E103" s="26"/>
      <c r="F103" s="26"/>
      <c r="G103" s="26"/>
    </row>
    <row r="104" spans="1:7" x14ac:dyDescent="0.35">
      <c r="A104" s="80" t="str">
        <f>Calcs!A36</f>
        <v>Other_Linear_meter</v>
      </c>
      <c r="B104" s="80">
        <f>Calcs!N36</f>
        <v>0</v>
      </c>
      <c r="C104" s="80">
        <f>Calcs!O36</f>
        <v>0</v>
      </c>
      <c r="D104" s="26"/>
      <c r="E104" s="26"/>
      <c r="F104" s="26"/>
      <c r="G104" s="26"/>
    </row>
    <row r="105" spans="1:7" x14ac:dyDescent="0.35">
      <c r="A105" s="80" t="str">
        <f>Calcs!A37</f>
        <v>Other_Square_meter</v>
      </c>
      <c r="B105" s="80">
        <f>Calcs!N37</f>
        <v>0</v>
      </c>
      <c r="C105" s="80">
        <f>Calcs!O37</f>
        <v>0</v>
      </c>
      <c r="D105" s="26"/>
      <c r="E105" s="26"/>
      <c r="F105" s="26"/>
      <c r="G105" s="26"/>
    </row>
    <row r="106" spans="1:7" x14ac:dyDescent="0.35">
      <c r="A106" s="80" t="str">
        <f>Calcs!A38</f>
        <v>Other_Volume_cubic_meter</v>
      </c>
      <c r="B106" s="80">
        <f>Calcs!N38</f>
        <v>0</v>
      </c>
      <c r="C106" s="80">
        <f>Calcs!O38</f>
        <v>0</v>
      </c>
      <c r="D106" s="26"/>
      <c r="E106" s="26"/>
      <c r="F106" s="26"/>
      <c r="G106" s="26"/>
    </row>
    <row r="107" spans="1:7" x14ac:dyDescent="0.35">
      <c r="A107" s="83" t="s">
        <v>70</v>
      </c>
      <c r="B107" s="83">
        <f>SUM(B70:B106)</f>
        <v>0</v>
      </c>
      <c r="C107" s="83">
        <f>SUM(C70:C106)</f>
        <v>0</v>
      </c>
      <c r="D107" s="26"/>
      <c r="E107" s="26"/>
      <c r="F107" s="26"/>
      <c r="G107" s="26"/>
    </row>
    <row r="108" spans="1:7" x14ac:dyDescent="0.35">
      <c r="A108" s="26"/>
      <c r="B108" s="26"/>
      <c r="C108" s="26"/>
      <c r="D108" s="26"/>
      <c r="E108" s="26"/>
      <c r="F108" s="26"/>
      <c r="G108" s="26"/>
    </row>
    <row r="109" spans="1:7" x14ac:dyDescent="0.35">
      <c r="A109" s="74" t="s">
        <v>71</v>
      </c>
      <c r="B109" s="26"/>
      <c r="C109" s="26"/>
      <c r="D109" s="26"/>
      <c r="E109" s="26"/>
      <c r="F109" s="26"/>
      <c r="G109" s="26"/>
    </row>
    <row r="110" spans="1:7" x14ac:dyDescent="0.35">
      <c r="A110" s="83" t="s">
        <v>58</v>
      </c>
      <c r="B110" s="85" t="s">
        <v>56</v>
      </c>
      <c r="C110" s="26"/>
      <c r="D110" s="26"/>
      <c r="E110" s="26"/>
      <c r="F110" s="26"/>
      <c r="G110" s="26"/>
    </row>
    <row r="111" spans="1:7" x14ac:dyDescent="0.35">
      <c r="A111" s="80" t="str">
        <f>Calcs!P2</f>
        <v>Application and residue waste (spillage)</v>
      </c>
      <c r="B111" s="80">
        <f>Calcs!Q2</f>
        <v>0</v>
      </c>
      <c r="C111" s="26"/>
      <c r="D111" s="26"/>
      <c r="E111" s="26"/>
      <c r="F111" s="26"/>
      <c r="G111" s="26"/>
    </row>
    <row r="112" spans="1:7" x14ac:dyDescent="0.35">
      <c r="A112" s="80" t="str">
        <f>Calcs!P3</f>
        <v>Canteen and office waste</v>
      </c>
      <c r="B112" s="80">
        <f>Calcs!Q3</f>
        <v>0</v>
      </c>
      <c r="C112" s="26"/>
      <c r="D112" s="26"/>
      <c r="E112" s="26"/>
      <c r="F112" s="26"/>
      <c r="G112" s="26"/>
    </row>
    <row r="113" spans="1:7" x14ac:dyDescent="0.35">
      <c r="A113" s="80" t="str">
        <f>Calcs!P4</f>
        <v>Client/designer change of mind</v>
      </c>
      <c r="B113" s="80">
        <f>Calcs!Q4</f>
        <v>0</v>
      </c>
      <c r="C113" s="26"/>
      <c r="D113" s="26"/>
      <c r="E113" s="26"/>
      <c r="F113" s="26"/>
      <c r="G113" s="26"/>
    </row>
    <row r="114" spans="1:7" x14ac:dyDescent="0.35">
      <c r="A114" s="80" t="str">
        <f>Calcs!P5</f>
        <v>Conversion waste (dimensions)</v>
      </c>
      <c r="B114" s="80">
        <f>Calcs!Q5</f>
        <v>0</v>
      </c>
      <c r="C114" s="26"/>
      <c r="D114" s="26"/>
      <c r="E114" s="26"/>
      <c r="F114" s="26"/>
      <c r="G114" s="26"/>
    </row>
    <row r="115" spans="1:7" x14ac:dyDescent="0.35">
      <c r="A115" s="80" t="str">
        <f>Calcs!P6</f>
        <v>Criminal waste (vandalism)</v>
      </c>
      <c r="B115" s="80">
        <f>Calcs!Q6</f>
        <v>0</v>
      </c>
      <c r="C115" s="26"/>
      <c r="D115" s="26"/>
      <c r="E115" s="26"/>
      <c r="F115" s="26"/>
      <c r="G115" s="26"/>
    </row>
    <row r="116" spans="1:7" x14ac:dyDescent="0.35">
      <c r="A116" s="80" t="str">
        <f>Calcs!P7</f>
        <v>Cutting waste</v>
      </c>
      <c r="B116" s="80">
        <f>Calcs!Q7</f>
        <v>0</v>
      </c>
      <c r="C116" s="26"/>
      <c r="D116" s="26"/>
      <c r="E116" s="26"/>
      <c r="F116" s="26"/>
      <c r="G116" s="26"/>
    </row>
    <row r="117" spans="1:7" x14ac:dyDescent="0.35">
      <c r="A117" s="80" t="str">
        <f>Calcs!P8</f>
        <v>Damaged: Site storage and internal site transit waste</v>
      </c>
      <c r="B117" s="80">
        <f>Calcs!Q8</f>
        <v>0</v>
      </c>
      <c r="C117" s="26"/>
      <c r="D117" s="26"/>
      <c r="E117" s="26"/>
      <c r="F117" s="26"/>
      <c r="G117" s="26"/>
    </row>
    <row r="118" spans="1:7" x14ac:dyDescent="0.35">
      <c r="A118" s="80" t="str">
        <f>Calcs!P9</f>
        <v>Damaged: Transport and delivery</v>
      </c>
      <c r="B118" s="80">
        <f>Calcs!Q9</f>
        <v>0</v>
      </c>
      <c r="C118" s="26"/>
      <c r="D118" s="26"/>
      <c r="E118" s="26"/>
      <c r="F118" s="26"/>
      <c r="G118" s="26"/>
    </row>
    <row r="119" spans="1:7" x14ac:dyDescent="0.35">
      <c r="A119" s="80" t="str">
        <f>Calcs!P10</f>
        <v>Damaged: weather</v>
      </c>
      <c r="B119" s="80">
        <f>Calcs!Q10</f>
        <v>0</v>
      </c>
      <c r="C119" s="26"/>
      <c r="D119" s="26"/>
      <c r="E119" s="26"/>
      <c r="F119" s="26"/>
      <c r="G119" s="26"/>
    </row>
    <row r="120" spans="1:7" x14ac:dyDescent="0.35">
      <c r="A120" s="80" t="str">
        <f>Calcs!P11</f>
        <v>Demolition and stripping out</v>
      </c>
      <c r="B120" s="80">
        <f>Calcs!Q11</f>
        <v>0</v>
      </c>
      <c r="C120" s="26"/>
      <c r="D120" s="26"/>
      <c r="E120" s="26"/>
      <c r="F120" s="26"/>
      <c r="G120" s="26"/>
    </row>
    <row r="121" spans="1:7" x14ac:dyDescent="0.35">
      <c r="A121" s="80" t="str">
        <f>Calcs!P12</f>
        <v>Design error</v>
      </c>
      <c r="B121" s="80">
        <f>Calcs!Q12</f>
        <v>0</v>
      </c>
      <c r="C121" s="26"/>
      <c r="D121" s="26"/>
      <c r="E121" s="26"/>
      <c r="F121" s="26"/>
      <c r="G121" s="26"/>
    </row>
    <row r="122" spans="1:7" x14ac:dyDescent="0.35">
      <c r="A122" s="80" t="str">
        <f>Calcs!P13</f>
        <v>Excess materials (too much in a batch)</v>
      </c>
      <c r="B122" s="80">
        <f>Calcs!Q13</f>
        <v>0</v>
      </c>
      <c r="C122" s="26"/>
      <c r="D122" s="26"/>
      <c r="E122" s="26"/>
      <c r="F122" s="26"/>
      <c r="G122" s="26"/>
    </row>
    <row r="123" spans="1:7" x14ac:dyDescent="0.35">
      <c r="A123" s="80" t="str">
        <f>Calcs!P14</f>
        <v>Fixing waste: built in wrong place</v>
      </c>
      <c r="B123" s="80">
        <f>Calcs!Q14</f>
        <v>0</v>
      </c>
      <c r="C123" s="26"/>
      <c r="D123" s="26"/>
      <c r="E123" s="26"/>
      <c r="F123" s="26"/>
      <c r="G123" s="26"/>
    </row>
    <row r="124" spans="1:7" x14ac:dyDescent="0.35">
      <c r="A124" s="80" t="str">
        <f>Calcs!P15</f>
        <v>Fixing waste: poor workmanship/quality</v>
      </c>
      <c r="B124" s="80">
        <f>Calcs!Q15</f>
        <v>0</v>
      </c>
      <c r="C124" s="26"/>
      <c r="D124" s="26"/>
      <c r="E124" s="26"/>
      <c r="F124" s="26"/>
      <c r="G124" s="26"/>
    </row>
    <row r="125" spans="1:7" x14ac:dyDescent="0.35">
      <c r="A125" s="80" t="str">
        <f>Calcs!P16</f>
        <v>Learning waste</v>
      </c>
      <c r="B125" s="80">
        <f>Calcs!Q16</f>
        <v>0</v>
      </c>
      <c r="C125" s="26"/>
      <c r="D125" s="26"/>
      <c r="E125" s="26"/>
      <c r="F125" s="26"/>
      <c r="G125" s="26"/>
    </row>
    <row r="126" spans="1:7" x14ac:dyDescent="0.35">
      <c r="A126" s="80" t="str">
        <f>Calcs!P17</f>
        <v>Manufacturing defect</v>
      </c>
      <c r="B126" s="80">
        <f>Calcs!Q17</f>
        <v>0</v>
      </c>
      <c r="C126" s="26"/>
      <c r="D126" s="26"/>
      <c r="E126" s="26"/>
      <c r="F126" s="26"/>
      <c r="G126" s="26"/>
    </row>
    <row r="127" spans="1:7" x14ac:dyDescent="0.35">
      <c r="A127" s="80" t="str">
        <f>Calcs!P18</f>
        <v>Not recovered by supplier (packaging)</v>
      </c>
      <c r="B127" s="80">
        <f>Calcs!Q18</f>
        <v>0</v>
      </c>
      <c r="C127" s="26"/>
      <c r="D127" s="26"/>
      <c r="E127" s="26"/>
      <c r="F127" s="26"/>
      <c r="G127" s="26"/>
    </row>
    <row r="128" spans="1:7" x14ac:dyDescent="0.35">
      <c r="A128" s="80" t="str">
        <f>Calcs!P19</f>
        <v>Over ordering</v>
      </c>
      <c r="B128" s="80">
        <f>Calcs!Q19</f>
        <v>0</v>
      </c>
      <c r="C128" s="26"/>
      <c r="D128" s="26"/>
      <c r="E128" s="26"/>
      <c r="F128" s="26"/>
      <c r="G128" s="26"/>
    </row>
    <row r="129" spans="1:7" x14ac:dyDescent="0.35">
      <c r="A129" s="80" t="str">
        <f>Calcs!P20</f>
        <v>Temporary Works</v>
      </c>
      <c r="B129" s="80">
        <f>Calcs!Q20</f>
        <v>0</v>
      </c>
      <c r="C129" s="26"/>
      <c r="D129" s="26"/>
      <c r="E129" s="26"/>
      <c r="F129" s="26"/>
      <c r="G129" s="26"/>
    </row>
    <row r="130" spans="1:7" x14ac:dyDescent="0.35">
      <c r="A130" s="80" t="str">
        <f>Calcs!P21</f>
        <v>Waste caused by other trades (if unprotected)</v>
      </c>
      <c r="B130" s="80">
        <f>Calcs!Q21</f>
        <v>0</v>
      </c>
      <c r="C130" s="26"/>
      <c r="D130" s="26"/>
      <c r="E130" s="26"/>
      <c r="F130" s="26"/>
      <c r="G130" s="26"/>
    </row>
    <row r="131" spans="1:7" x14ac:dyDescent="0.35">
      <c r="A131" s="80" t="str">
        <f>Calcs!P22</f>
        <v>Wrongly specified (by contractor)</v>
      </c>
      <c r="B131" s="80">
        <f>Calcs!Q22</f>
        <v>0</v>
      </c>
      <c r="C131" s="26"/>
      <c r="D131" s="26"/>
      <c r="E131" s="26"/>
      <c r="F131" s="26"/>
      <c r="G131" s="26"/>
    </row>
    <row r="132" spans="1:7" x14ac:dyDescent="0.35">
      <c r="A132" s="83" t="s">
        <v>72</v>
      </c>
      <c r="B132" s="83">
        <f>SUM(B111:B131)</f>
        <v>0</v>
      </c>
      <c r="C132" s="26"/>
      <c r="D132" s="26"/>
      <c r="E132" s="26"/>
      <c r="F132" s="26"/>
      <c r="G132" s="26"/>
    </row>
    <row r="133" spans="1:7" x14ac:dyDescent="0.35">
      <c r="A133" s="74"/>
      <c r="B133" s="74"/>
      <c r="C133" s="26"/>
      <c r="D133" s="26"/>
      <c r="E133" s="26"/>
      <c r="F133" s="26"/>
      <c r="G133" s="26"/>
    </row>
    <row r="134" spans="1:7" x14ac:dyDescent="0.35">
      <c r="A134" s="74" t="s">
        <v>73</v>
      </c>
      <c r="B134" s="26"/>
      <c r="C134" s="26"/>
      <c r="D134" s="26"/>
      <c r="E134" s="26"/>
      <c r="F134" s="26"/>
      <c r="G134" s="26"/>
    </row>
    <row r="135" spans="1:7" x14ac:dyDescent="0.35">
      <c r="A135" s="83" t="s">
        <v>34</v>
      </c>
      <c r="B135" s="85" t="s">
        <v>74</v>
      </c>
      <c r="C135" s="26"/>
      <c r="D135" s="26"/>
      <c r="E135" s="26"/>
      <c r="F135" s="26"/>
      <c r="G135" s="26"/>
    </row>
    <row r="136" spans="1:7" x14ac:dyDescent="0.35">
      <c r="A136" s="80" t="str">
        <f>Calcs!S2</f>
        <v>As good as new</v>
      </c>
      <c r="B136" s="80">
        <f>Calcs!T2</f>
        <v>0</v>
      </c>
      <c r="C136" s="26"/>
      <c r="D136" s="26"/>
      <c r="E136" s="26"/>
      <c r="F136" s="26"/>
      <c r="G136" s="26"/>
    </row>
    <row r="137" spans="1:7" x14ac:dyDescent="0.35">
      <c r="A137" s="80" t="str">
        <f>Calcs!S3</f>
        <v>Potentially reusable</v>
      </c>
      <c r="B137" s="80">
        <f>Calcs!T3</f>
        <v>0</v>
      </c>
      <c r="C137" s="26"/>
      <c r="D137" s="26"/>
      <c r="E137" s="26"/>
      <c r="F137" s="26"/>
      <c r="G137" s="26"/>
    </row>
    <row r="138" spans="1:7" x14ac:dyDescent="0.35">
      <c r="A138" s="80" t="str">
        <f>Calcs!S4</f>
        <v>Slight damage/Reparable</v>
      </c>
      <c r="B138" s="80">
        <f>Calcs!T4</f>
        <v>0</v>
      </c>
      <c r="C138" s="26"/>
      <c r="D138" s="26"/>
      <c r="E138" s="26"/>
      <c r="F138" s="26"/>
      <c r="G138" s="26"/>
    </row>
    <row r="139" spans="1:7" x14ac:dyDescent="0.35">
      <c r="A139" s="80" t="str">
        <f>Calcs!S5</f>
        <v>Suitable for recycling</v>
      </c>
      <c r="B139" s="80">
        <f>Calcs!T5</f>
        <v>0</v>
      </c>
      <c r="C139" s="26"/>
      <c r="D139" s="26"/>
      <c r="E139" s="26"/>
      <c r="F139" s="26"/>
      <c r="G139" s="26"/>
    </row>
    <row r="140" spans="1:7" x14ac:dyDescent="0.35">
      <c r="A140" s="80" t="str">
        <f>Calcs!S6</f>
        <v>Mostly recyclable</v>
      </c>
      <c r="B140" s="80">
        <f>Calcs!T6</f>
        <v>0</v>
      </c>
      <c r="C140" s="26"/>
      <c r="D140" s="26"/>
      <c r="E140" s="26"/>
      <c r="F140" s="26"/>
      <c r="G140" s="26"/>
    </row>
    <row r="141" spans="1:7" x14ac:dyDescent="0.35">
      <c r="A141" s="80" t="str">
        <f>Calcs!S7</f>
        <v>Disposal/Landfill</v>
      </c>
      <c r="B141" s="80">
        <f>Calcs!T7</f>
        <v>0</v>
      </c>
      <c r="C141" s="26"/>
      <c r="D141" s="26"/>
      <c r="E141" s="26"/>
      <c r="F141" s="26"/>
      <c r="G141" s="26"/>
    </row>
    <row r="142" spans="1:7" x14ac:dyDescent="0.35">
      <c r="A142" s="83" t="s">
        <v>72</v>
      </c>
      <c r="B142" s="80">
        <f>SUM(B136:B141)</f>
        <v>0</v>
      </c>
      <c r="C142" s="26"/>
      <c r="D142" s="26"/>
      <c r="E142" s="26"/>
      <c r="F142" s="26"/>
      <c r="G142" s="26"/>
    </row>
    <row r="143" spans="1:7" x14ac:dyDescent="0.35">
      <c r="A143" s="74"/>
      <c r="B143" s="74"/>
      <c r="C143" s="26"/>
      <c r="D143" s="26"/>
      <c r="E143" s="26"/>
      <c r="F143" s="26"/>
      <c r="G143" s="26"/>
    </row>
  </sheetData>
  <sheetProtection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88"/>
  <sheetViews>
    <sheetView workbookViewId="0">
      <selection activeCell="A39" sqref="A39"/>
    </sheetView>
  </sheetViews>
  <sheetFormatPr defaultRowHeight="14.5" x14ac:dyDescent="0.35"/>
  <cols>
    <col min="1" max="1" width="77.1796875" bestFit="1" customWidth="1"/>
    <col min="2" max="2" width="63.453125" bestFit="1" customWidth="1"/>
    <col min="3" max="3" width="31.26953125" bestFit="1" customWidth="1"/>
    <col min="4" max="4" width="48.7265625" bestFit="1" customWidth="1"/>
    <col min="5" max="5" width="89.26953125" bestFit="1" customWidth="1"/>
    <col min="6" max="6" width="40.26953125" bestFit="1" customWidth="1"/>
    <col min="7" max="7" width="89.453125" bestFit="1" customWidth="1"/>
    <col min="8" max="8" width="60.81640625" bestFit="1" customWidth="1"/>
    <col min="9" max="9" width="48.453125" bestFit="1" customWidth="1"/>
    <col min="10" max="10" width="39.26953125" bestFit="1" customWidth="1"/>
    <col min="11" max="11" width="74.54296875" bestFit="1" customWidth="1"/>
    <col min="12" max="12" width="28.26953125" bestFit="1" customWidth="1"/>
    <col min="13" max="13" width="24.81640625" bestFit="1" customWidth="1"/>
    <col min="14" max="14" width="65.81640625" bestFit="1" customWidth="1"/>
    <col min="15" max="15" width="27.54296875" bestFit="1" customWidth="1"/>
    <col min="16" max="16" width="66.453125" bestFit="1" customWidth="1"/>
    <col min="18" max="18" width="17.26953125" bestFit="1" customWidth="1"/>
    <col min="19" max="19" width="10.26953125" bestFit="1" customWidth="1"/>
    <col min="20" max="20" width="20.81640625" bestFit="1" customWidth="1"/>
    <col min="21" max="21" width="14.453125" bestFit="1" customWidth="1"/>
    <col min="22" max="22" width="36.54296875" bestFit="1" customWidth="1"/>
    <col min="23" max="23" width="24.81640625" bestFit="1" customWidth="1"/>
    <col min="24" max="24" width="60.1796875" bestFit="1" customWidth="1"/>
    <col min="25" max="25" width="78.26953125" bestFit="1" customWidth="1"/>
    <col min="26" max="26" width="82.453125" bestFit="1" customWidth="1"/>
    <col min="27" max="27" width="40.453125" bestFit="1" customWidth="1"/>
    <col min="28" max="28" width="16.54296875" bestFit="1" customWidth="1"/>
    <col min="29" max="29" width="16.1796875" bestFit="1" customWidth="1"/>
    <col min="30" max="30" width="19.7265625" bestFit="1" customWidth="1"/>
    <col min="31" max="31" width="18" bestFit="1" customWidth="1"/>
    <col min="32" max="32" width="34.453125" bestFit="1" customWidth="1"/>
    <col min="33" max="33" width="42.54296875" bestFit="1" customWidth="1"/>
    <col min="34" max="34" width="44.453125" bestFit="1" customWidth="1"/>
    <col min="35" max="35" width="48.81640625" bestFit="1" customWidth="1"/>
    <col min="36" max="37" width="51.7265625" bestFit="1" customWidth="1"/>
  </cols>
  <sheetData>
    <row r="1" spans="1:32" x14ac:dyDescent="0.35">
      <c r="A1" s="1" t="s">
        <v>75</v>
      </c>
      <c r="B1" s="1" t="s">
        <v>76</v>
      </c>
      <c r="C1" s="1" t="s">
        <v>77</v>
      </c>
      <c r="D1" s="1" t="s">
        <v>78</v>
      </c>
      <c r="F1" s="1" t="s">
        <v>34</v>
      </c>
      <c r="H1" s="1" t="s">
        <v>79</v>
      </c>
      <c r="J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Q1" s="1" t="s">
        <v>85</v>
      </c>
      <c r="R1" s="1" t="s">
        <v>86</v>
      </c>
      <c r="S1" s="1" t="s">
        <v>87</v>
      </c>
      <c r="T1" s="1" t="s">
        <v>88</v>
      </c>
      <c r="U1" s="1" t="s">
        <v>89</v>
      </c>
      <c r="V1" s="1" t="s">
        <v>90</v>
      </c>
      <c r="W1" s="1" t="s">
        <v>91</v>
      </c>
      <c r="X1" s="1" t="s">
        <v>92</v>
      </c>
      <c r="Y1" s="1" t="s">
        <v>8</v>
      </c>
      <c r="Z1" s="1" t="s">
        <v>10</v>
      </c>
      <c r="AA1" s="1" t="s">
        <v>93</v>
      </c>
      <c r="AC1" s="1" t="s">
        <v>12</v>
      </c>
      <c r="AD1" s="1" t="s">
        <v>94</v>
      </c>
      <c r="AE1" s="91" t="s">
        <v>95</v>
      </c>
      <c r="AF1" s="1" t="s">
        <v>96</v>
      </c>
    </row>
    <row r="2" spans="1:32" x14ac:dyDescent="0.35">
      <c r="A2" t="s">
        <v>97</v>
      </c>
      <c r="B2" s="3" t="s">
        <v>98</v>
      </c>
      <c r="C2" s="64">
        <v>0.25</v>
      </c>
      <c r="D2" t="s">
        <v>99</v>
      </c>
      <c r="F2" t="s">
        <v>100</v>
      </c>
      <c r="H2" t="s">
        <v>101</v>
      </c>
      <c r="J2" t="s">
        <v>102</v>
      </c>
      <c r="L2">
        <v>8</v>
      </c>
      <c r="M2">
        <v>5</v>
      </c>
      <c r="N2">
        <v>24</v>
      </c>
      <c r="O2" s="6">
        <f>O17</f>
        <v>178.33333333333334</v>
      </c>
      <c r="Q2" t="s">
        <v>103</v>
      </c>
      <c r="R2">
        <f>'Set up'!B19</f>
        <v>0</v>
      </c>
      <c r="S2">
        <f>R2*2</f>
        <v>0</v>
      </c>
      <c r="T2">
        <f>(S2/1000)/3</f>
        <v>0</v>
      </c>
      <c r="U2">
        <f>T2*3</f>
        <v>0</v>
      </c>
      <c r="V2">
        <f>SUM(T2:U2)</f>
        <v>0</v>
      </c>
      <c r="W2">
        <f>Costs!$AJ$2*Lists!V2</f>
        <v>0</v>
      </c>
      <c r="X2" s="6">
        <f>V2*$Q$13</f>
        <v>0</v>
      </c>
      <c r="Y2" t="s">
        <v>104</v>
      </c>
      <c r="Z2" t="s">
        <v>105</v>
      </c>
      <c r="AA2" t="s">
        <v>106</v>
      </c>
      <c r="AC2" t="s">
        <v>107</v>
      </c>
      <c r="AD2" t="s">
        <v>108</v>
      </c>
      <c r="AE2" s="93">
        <v>0</v>
      </c>
      <c r="AF2" s="93">
        <v>0</v>
      </c>
    </row>
    <row r="3" spans="1:32" x14ac:dyDescent="0.35">
      <c r="A3" t="s">
        <v>109</v>
      </c>
      <c r="B3" s="3" t="s">
        <v>110</v>
      </c>
      <c r="C3" s="64">
        <v>0.93</v>
      </c>
      <c r="D3" t="s">
        <v>111</v>
      </c>
      <c r="F3" t="s">
        <v>112</v>
      </c>
      <c r="H3" t="s">
        <v>113</v>
      </c>
      <c r="J3" t="s">
        <v>114</v>
      </c>
      <c r="L3">
        <v>10</v>
      </c>
      <c r="M3">
        <f>M2*1.25</f>
        <v>6.25</v>
      </c>
      <c r="N3">
        <f>N2*1.25</f>
        <v>30</v>
      </c>
      <c r="O3" s="4">
        <f>$O$2*P24</f>
        <v>202.11111111111111</v>
      </c>
      <c r="Q3" t="s">
        <v>115</v>
      </c>
      <c r="R3">
        <f>'Set up'!B20</f>
        <v>0</v>
      </c>
      <c r="S3">
        <f t="shared" ref="S3:S5" si="0">R3*2</f>
        <v>0</v>
      </c>
      <c r="T3">
        <f>(S3/1000)/2</f>
        <v>0</v>
      </c>
      <c r="U3">
        <f>T3*3</f>
        <v>0</v>
      </c>
      <c r="V3">
        <f t="shared" ref="V3:V5" si="1">SUM(T3:U3)</f>
        <v>0</v>
      </c>
      <c r="W3">
        <f>Costs!$AJ$2*Lists!V3</f>
        <v>0</v>
      </c>
      <c r="X3" s="6">
        <f>V3*$Q$13</f>
        <v>0</v>
      </c>
      <c r="Y3" t="s">
        <v>116</v>
      </c>
      <c r="Z3" t="s">
        <v>117</v>
      </c>
      <c r="AA3" t="s">
        <v>118</v>
      </c>
      <c r="AC3" t="s">
        <v>119</v>
      </c>
      <c r="AD3" t="s">
        <v>120</v>
      </c>
      <c r="AE3" s="93">
        <v>1</v>
      </c>
      <c r="AF3" s="93">
        <v>5</v>
      </c>
    </row>
    <row r="4" spans="1:32" x14ac:dyDescent="0.35">
      <c r="A4" t="s">
        <v>121</v>
      </c>
      <c r="B4" s="3" t="s">
        <v>122</v>
      </c>
      <c r="C4" s="64">
        <v>0.66</v>
      </c>
      <c r="D4" t="s">
        <v>123</v>
      </c>
      <c r="F4" t="s">
        <v>124</v>
      </c>
      <c r="H4" t="s">
        <v>125</v>
      </c>
      <c r="L4">
        <v>12</v>
      </c>
      <c r="M4">
        <f>M2*1.5</f>
        <v>7.5</v>
      </c>
      <c r="N4">
        <f>N2*1.5</f>
        <v>36</v>
      </c>
      <c r="O4" s="4">
        <f t="shared" ref="O4:O8" si="2">$O$2*P25</f>
        <v>261.55555555555554</v>
      </c>
      <c r="Q4" t="s">
        <v>126</v>
      </c>
      <c r="R4">
        <f>'Set up'!B21</f>
        <v>0</v>
      </c>
      <c r="S4">
        <f t="shared" si="0"/>
        <v>0</v>
      </c>
      <c r="T4">
        <f>(S4/1000)/8</f>
        <v>0</v>
      </c>
      <c r="U4">
        <f>T4*3</f>
        <v>0</v>
      </c>
      <c r="V4">
        <f t="shared" si="1"/>
        <v>0</v>
      </c>
      <c r="W4">
        <f>Costs!$AJ$2*Lists!V4</f>
        <v>0</v>
      </c>
      <c r="X4" s="6">
        <f>V4*$Q$14</f>
        <v>0</v>
      </c>
      <c r="Y4" t="s">
        <v>127</v>
      </c>
      <c r="Z4" t="s">
        <v>128</v>
      </c>
      <c r="AA4" t="s">
        <v>129</v>
      </c>
      <c r="AC4" t="s">
        <v>130</v>
      </c>
      <c r="AD4" t="s">
        <v>131</v>
      </c>
      <c r="AE4" s="93">
        <v>2</v>
      </c>
      <c r="AF4" s="93">
        <v>10</v>
      </c>
    </row>
    <row r="5" spans="1:32" x14ac:dyDescent="0.35">
      <c r="A5" t="s">
        <v>132</v>
      </c>
      <c r="B5" s="3" t="s">
        <v>133</v>
      </c>
      <c r="C5" s="64">
        <v>0.59</v>
      </c>
      <c r="D5" t="s">
        <v>134</v>
      </c>
      <c r="F5" t="s">
        <v>135</v>
      </c>
      <c r="H5" t="s">
        <v>136</v>
      </c>
      <c r="L5">
        <v>14</v>
      </c>
      <c r="M5">
        <f>M2*1.75</f>
        <v>8.75</v>
      </c>
      <c r="N5">
        <f>N2*1.75</f>
        <v>42</v>
      </c>
      <c r="O5" s="4">
        <f t="shared" si="2"/>
        <v>261.55555555555554</v>
      </c>
      <c r="Q5" t="s">
        <v>137</v>
      </c>
      <c r="R5">
        <f>'Set up'!B23</f>
        <v>0</v>
      </c>
      <c r="S5">
        <f t="shared" si="0"/>
        <v>0</v>
      </c>
      <c r="T5">
        <f>(S5/1000)/4</f>
        <v>0</v>
      </c>
      <c r="U5">
        <f>T5*3</f>
        <v>0</v>
      </c>
      <c r="V5">
        <f t="shared" si="1"/>
        <v>0</v>
      </c>
      <c r="W5" s="1">
        <f>Costs!$AJ$2*Lists!V5</f>
        <v>0</v>
      </c>
      <c r="X5" s="6">
        <f>V5*$Q$13</f>
        <v>0</v>
      </c>
      <c r="Y5" t="s">
        <v>138</v>
      </c>
      <c r="Z5" t="s">
        <v>139</v>
      </c>
      <c r="AA5" t="s">
        <v>140</v>
      </c>
      <c r="AC5" t="s">
        <v>141</v>
      </c>
      <c r="AD5" t="s">
        <v>142</v>
      </c>
      <c r="AE5" s="93">
        <v>3</v>
      </c>
      <c r="AF5" s="93">
        <v>15</v>
      </c>
    </row>
    <row r="6" spans="1:32" x14ac:dyDescent="0.35">
      <c r="A6" t="s">
        <v>143</v>
      </c>
      <c r="B6" s="3" t="s">
        <v>144</v>
      </c>
      <c r="C6" s="64">
        <v>0.66</v>
      </c>
      <c r="D6" t="s">
        <v>145</v>
      </c>
      <c r="F6" t="s">
        <v>146</v>
      </c>
      <c r="H6" t="s">
        <v>147</v>
      </c>
      <c r="L6">
        <v>16</v>
      </c>
      <c r="M6">
        <f>M2*2</f>
        <v>10</v>
      </c>
      <c r="N6">
        <f>N2*2</f>
        <v>48</v>
      </c>
      <c r="O6" s="4">
        <f t="shared" si="2"/>
        <v>261.55555555555554</v>
      </c>
      <c r="W6" s="1">
        <f>SUM(W2:W4)</f>
        <v>0</v>
      </c>
      <c r="Z6" t="s">
        <v>148</v>
      </c>
      <c r="AA6" t="s">
        <v>149</v>
      </c>
      <c r="AD6" t="s">
        <v>150</v>
      </c>
      <c r="AE6" s="93">
        <v>4</v>
      </c>
      <c r="AF6" s="93">
        <v>20</v>
      </c>
    </row>
    <row r="7" spans="1:32" x14ac:dyDescent="0.35">
      <c r="A7" t="s">
        <v>151</v>
      </c>
      <c r="B7" s="3" t="s">
        <v>152</v>
      </c>
      <c r="C7" s="64">
        <v>0.33</v>
      </c>
      <c r="D7" t="s">
        <v>153</v>
      </c>
      <c r="F7" t="s">
        <v>154</v>
      </c>
      <c r="L7">
        <v>20</v>
      </c>
      <c r="M7">
        <f>M2*2.5</f>
        <v>12.5</v>
      </c>
      <c r="N7">
        <f>N2*2.5</f>
        <v>60</v>
      </c>
      <c r="O7" s="4">
        <f t="shared" si="2"/>
        <v>344.77777777777777</v>
      </c>
      <c r="Z7" t="s">
        <v>155</v>
      </c>
      <c r="AA7" t="s">
        <v>156</v>
      </c>
      <c r="AD7" t="s">
        <v>157</v>
      </c>
      <c r="AE7" s="93">
        <v>5</v>
      </c>
      <c r="AF7" s="93">
        <v>25</v>
      </c>
    </row>
    <row r="8" spans="1:32" x14ac:dyDescent="0.35">
      <c r="A8" t="s">
        <v>158</v>
      </c>
      <c r="B8" s="3" t="s">
        <v>159</v>
      </c>
      <c r="C8" s="64">
        <v>0.28999999999999998</v>
      </c>
      <c r="D8" t="s">
        <v>160</v>
      </c>
      <c r="L8">
        <v>40</v>
      </c>
      <c r="M8">
        <f>M2*5</f>
        <v>25</v>
      </c>
      <c r="N8">
        <f>N2*5</f>
        <v>120</v>
      </c>
      <c r="O8" s="4">
        <f t="shared" si="2"/>
        <v>475.55555555555554</v>
      </c>
      <c r="Z8" t="s">
        <v>161</v>
      </c>
      <c r="AA8" t="s">
        <v>162</v>
      </c>
      <c r="AD8" t="s">
        <v>163</v>
      </c>
      <c r="AE8" s="93">
        <v>6</v>
      </c>
      <c r="AF8" s="93">
        <v>30</v>
      </c>
    </row>
    <row r="9" spans="1:32" x14ac:dyDescent="0.35">
      <c r="A9" t="s">
        <v>164</v>
      </c>
      <c r="B9" s="3" t="s">
        <v>165</v>
      </c>
      <c r="C9" s="65">
        <v>0.3332</v>
      </c>
      <c r="D9" t="s">
        <v>166</v>
      </c>
      <c r="Z9" t="s">
        <v>167</v>
      </c>
      <c r="AA9" t="s">
        <v>168</v>
      </c>
      <c r="AD9" t="s">
        <v>169</v>
      </c>
      <c r="AE9" s="93">
        <v>7</v>
      </c>
      <c r="AF9" s="93">
        <v>35</v>
      </c>
    </row>
    <row r="10" spans="1:32" x14ac:dyDescent="0.35">
      <c r="A10" t="s">
        <v>170</v>
      </c>
      <c r="B10" s="3" t="s">
        <v>171</v>
      </c>
      <c r="C10" s="64">
        <v>0.25</v>
      </c>
      <c r="D10" t="s">
        <v>172</v>
      </c>
      <c r="Z10" t="s">
        <v>173</v>
      </c>
      <c r="AA10" t="s">
        <v>174</v>
      </c>
      <c r="AD10" t="s">
        <v>175</v>
      </c>
      <c r="AE10" s="93">
        <v>8</v>
      </c>
      <c r="AF10" s="93">
        <v>40</v>
      </c>
    </row>
    <row r="11" spans="1:32" x14ac:dyDescent="0.35">
      <c r="A11" t="s">
        <v>176</v>
      </c>
      <c r="B11" s="3" t="s">
        <v>177</v>
      </c>
      <c r="C11" s="64">
        <v>0.9</v>
      </c>
      <c r="D11" t="s">
        <v>178</v>
      </c>
      <c r="Z11" t="s">
        <v>179</v>
      </c>
      <c r="AA11" t="s">
        <v>180</v>
      </c>
      <c r="AD11" t="s">
        <v>181</v>
      </c>
      <c r="AE11" s="93">
        <v>9</v>
      </c>
      <c r="AF11" s="93">
        <v>45</v>
      </c>
    </row>
    <row r="12" spans="1:32" x14ac:dyDescent="0.35">
      <c r="A12" t="s">
        <v>182</v>
      </c>
      <c r="B12" s="3" t="s">
        <v>183</v>
      </c>
      <c r="C12" s="64">
        <v>0.9</v>
      </c>
      <c r="D12" t="s">
        <v>184</v>
      </c>
      <c r="Q12" t="s">
        <v>185</v>
      </c>
      <c r="Z12" t="s">
        <v>186</v>
      </c>
      <c r="AD12" t="s">
        <v>187</v>
      </c>
      <c r="AE12" s="93">
        <v>10</v>
      </c>
      <c r="AF12" s="93">
        <v>50</v>
      </c>
    </row>
    <row r="13" spans="1:32" x14ac:dyDescent="0.35">
      <c r="A13" t="s">
        <v>188</v>
      </c>
      <c r="B13" s="3" t="s">
        <v>189</v>
      </c>
      <c r="C13" s="64">
        <v>1.95</v>
      </c>
      <c r="D13" t="s">
        <v>190</v>
      </c>
      <c r="Q13" s="17">
        <v>11.6</v>
      </c>
      <c r="R13" t="s">
        <v>191</v>
      </c>
      <c r="Z13" t="s">
        <v>192</v>
      </c>
      <c r="AD13" t="s">
        <v>193</v>
      </c>
      <c r="AE13" s="93">
        <v>11</v>
      </c>
      <c r="AF13" s="93">
        <v>55</v>
      </c>
    </row>
    <row r="14" spans="1:32" x14ac:dyDescent="0.35">
      <c r="A14" t="s">
        <v>194</v>
      </c>
      <c r="B14" s="3" t="s">
        <v>195</v>
      </c>
      <c r="C14" s="64">
        <v>0.9</v>
      </c>
      <c r="D14" t="s">
        <v>196</v>
      </c>
      <c r="N14" t="s">
        <v>197</v>
      </c>
      <c r="O14" s="4">
        <v>207</v>
      </c>
      <c r="Q14" s="17">
        <v>18.64</v>
      </c>
      <c r="R14" t="s">
        <v>198</v>
      </c>
      <c r="Z14" t="s">
        <v>199</v>
      </c>
      <c r="AD14" t="s">
        <v>200</v>
      </c>
      <c r="AE14" s="93">
        <v>12</v>
      </c>
      <c r="AF14" s="93"/>
    </row>
    <row r="15" spans="1:32" x14ac:dyDescent="0.35">
      <c r="A15" t="s">
        <v>201</v>
      </c>
      <c r="B15" s="3" t="s">
        <v>202</v>
      </c>
      <c r="C15" s="64">
        <v>0.9</v>
      </c>
      <c r="D15" t="s">
        <v>203</v>
      </c>
      <c r="N15" t="s">
        <v>204</v>
      </c>
      <c r="O15" s="4">
        <v>221</v>
      </c>
      <c r="Z15" t="s">
        <v>205</v>
      </c>
      <c r="AD15" t="s">
        <v>206</v>
      </c>
      <c r="AE15" s="93">
        <v>13</v>
      </c>
      <c r="AF15" s="93"/>
    </row>
    <row r="16" spans="1:32" x14ac:dyDescent="0.35">
      <c r="A16" t="s">
        <v>207</v>
      </c>
      <c r="B16" s="3" t="s">
        <v>208</v>
      </c>
      <c r="C16" s="64">
        <v>0.9</v>
      </c>
      <c r="D16" t="s">
        <v>209</v>
      </c>
      <c r="N16" t="s">
        <v>210</v>
      </c>
      <c r="O16" s="4">
        <f>AVERAGE(O14:O15)</f>
        <v>214</v>
      </c>
      <c r="Z16" t="s">
        <v>211</v>
      </c>
      <c r="AD16" t="s">
        <v>212</v>
      </c>
      <c r="AE16" s="93">
        <v>14</v>
      </c>
      <c r="AF16" s="93"/>
    </row>
    <row r="17" spans="1:32" x14ac:dyDescent="0.35">
      <c r="A17" t="s">
        <v>213</v>
      </c>
      <c r="B17" s="3" t="s">
        <v>214</v>
      </c>
      <c r="C17" s="64">
        <v>0.43</v>
      </c>
      <c r="D17" t="s">
        <v>215</v>
      </c>
      <c r="N17" t="s">
        <v>216</v>
      </c>
      <c r="O17" s="4">
        <f>O16/1.2</f>
        <v>178.33333333333334</v>
      </c>
      <c r="Z17" t="s">
        <v>217</v>
      </c>
      <c r="AD17" t="s">
        <v>218</v>
      </c>
      <c r="AE17" s="93">
        <v>15</v>
      </c>
      <c r="AF17" s="93"/>
    </row>
    <row r="18" spans="1:32" x14ac:dyDescent="0.35">
      <c r="A18" t="s">
        <v>219</v>
      </c>
      <c r="B18" s="3" t="s">
        <v>220</v>
      </c>
      <c r="C18" s="64">
        <v>0.9</v>
      </c>
      <c r="D18" t="s">
        <v>221</v>
      </c>
      <c r="Z18" t="s">
        <v>222</v>
      </c>
      <c r="AD18" t="s">
        <v>223</v>
      </c>
      <c r="AE18" s="93">
        <v>16</v>
      </c>
      <c r="AF18" s="93"/>
    </row>
    <row r="19" spans="1:32" x14ac:dyDescent="0.35">
      <c r="A19" t="s">
        <v>224</v>
      </c>
      <c r="B19" s="3" t="s">
        <v>225</v>
      </c>
      <c r="C19" s="64">
        <v>0.27</v>
      </c>
      <c r="D19" t="s">
        <v>226</v>
      </c>
      <c r="N19" s="16" t="s">
        <v>227</v>
      </c>
      <c r="O19" s="15"/>
      <c r="Z19" t="s">
        <v>228</v>
      </c>
      <c r="AD19" t="s">
        <v>229</v>
      </c>
      <c r="AE19" s="93">
        <v>17</v>
      </c>
      <c r="AF19" s="93"/>
    </row>
    <row r="20" spans="1:32" x14ac:dyDescent="0.35">
      <c r="A20" t="s">
        <v>230</v>
      </c>
      <c r="B20" s="3" t="s">
        <v>231</v>
      </c>
      <c r="C20" s="65">
        <v>0.1137</v>
      </c>
      <c r="D20" t="s">
        <v>232</v>
      </c>
      <c r="N20" s="16" t="s">
        <v>233</v>
      </c>
      <c r="Z20" t="s">
        <v>234</v>
      </c>
      <c r="AD20" t="s">
        <v>235</v>
      </c>
      <c r="AE20" s="93">
        <v>18</v>
      </c>
      <c r="AF20" s="93"/>
    </row>
    <row r="21" spans="1:32" x14ac:dyDescent="0.35">
      <c r="A21" t="s">
        <v>236</v>
      </c>
      <c r="B21" s="3" t="s">
        <v>237</v>
      </c>
      <c r="C21" s="64">
        <v>1.31</v>
      </c>
      <c r="D21" t="s">
        <v>238</v>
      </c>
      <c r="Z21" t="s">
        <v>239</v>
      </c>
      <c r="AD21" t="s">
        <v>240</v>
      </c>
      <c r="AE21" s="93">
        <v>19</v>
      </c>
      <c r="AF21" s="93"/>
    </row>
    <row r="22" spans="1:32" x14ac:dyDescent="0.35">
      <c r="A22" t="s">
        <v>241</v>
      </c>
      <c r="B22" s="3" t="s">
        <v>242</v>
      </c>
      <c r="C22" s="65">
        <v>0.51070000000000004</v>
      </c>
      <c r="D22" t="s">
        <v>243</v>
      </c>
      <c r="N22" s="1" t="s">
        <v>244</v>
      </c>
      <c r="O22" s="1" t="s">
        <v>245</v>
      </c>
      <c r="P22" s="1" t="s">
        <v>246</v>
      </c>
      <c r="Z22" t="s">
        <v>247</v>
      </c>
      <c r="AD22" t="s">
        <v>248</v>
      </c>
      <c r="AE22" s="93">
        <v>20</v>
      </c>
      <c r="AF22" s="93"/>
    </row>
    <row r="23" spans="1:32" x14ac:dyDescent="0.35">
      <c r="A23" t="s">
        <v>249</v>
      </c>
      <c r="B23" s="3" t="s">
        <v>250</v>
      </c>
      <c r="C23" s="65">
        <v>0.60919999999999996</v>
      </c>
      <c r="D23" t="s">
        <v>251</v>
      </c>
      <c r="N23">
        <f>L2</f>
        <v>8</v>
      </c>
      <c r="O23" s="4">
        <v>150</v>
      </c>
      <c r="Z23" t="s">
        <v>252</v>
      </c>
      <c r="AD23" t="s">
        <v>253</v>
      </c>
      <c r="AE23" s="93">
        <v>21</v>
      </c>
      <c r="AF23" s="93"/>
    </row>
    <row r="24" spans="1:32" x14ac:dyDescent="0.35">
      <c r="A24" t="s">
        <v>254</v>
      </c>
      <c r="B24" s="3" t="s">
        <v>255</v>
      </c>
      <c r="C24" s="64">
        <v>0.27</v>
      </c>
      <c r="N24">
        <f t="shared" ref="N24:N29" si="3">L3</f>
        <v>10</v>
      </c>
      <c r="O24" s="4">
        <v>170</v>
      </c>
      <c r="P24">
        <f>O24/$O$23</f>
        <v>1.1333333333333333</v>
      </c>
      <c r="Z24" t="s">
        <v>256</v>
      </c>
      <c r="AD24" t="s">
        <v>257</v>
      </c>
      <c r="AE24" s="93">
        <v>22</v>
      </c>
      <c r="AF24" s="93"/>
    </row>
    <row r="25" spans="1:32" x14ac:dyDescent="0.35">
      <c r="A25" t="s">
        <v>258</v>
      </c>
      <c r="B25" s="3" t="s">
        <v>259</v>
      </c>
      <c r="C25" s="64">
        <v>0.32</v>
      </c>
      <c r="N25">
        <f t="shared" si="3"/>
        <v>12</v>
      </c>
      <c r="O25" s="4">
        <v>220</v>
      </c>
      <c r="P25">
        <f t="shared" ref="P25:P29" si="4">O25/$O$23</f>
        <v>1.4666666666666666</v>
      </c>
      <c r="Z25" t="s">
        <v>260</v>
      </c>
      <c r="AE25" s="93">
        <v>23</v>
      </c>
      <c r="AF25" s="93"/>
    </row>
    <row r="26" spans="1:32" x14ac:dyDescent="0.35">
      <c r="A26" t="s">
        <v>261</v>
      </c>
      <c r="B26" s="3" t="s">
        <v>262</v>
      </c>
      <c r="C26" s="64">
        <v>0.56699999999999995</v>
      </c>
      <c r="N26">
        <f t="shared" si="3"/>
        <v>14</v>
      </c>
      <c r="O26" s="4">
        <v>220</v>
      </c>
      <c r="P26">
        <f t="shared" si="4"/>
        <v>1.4666666666666666</v>
      </c>
      <c r="Z26" t="s">
        <v>263</v>
      </c>
      <c r="AE26" s="92"/>
      <c r="AF26" s="93"/>
    </row>
    <row r="27" spans="1:32" x14ac:dyDescent="0.35">
      <c r="A27" t="s">
        <v>264</v>
      </c>
      <c r="B27" s="3" t="s">
        <v>265</v>
      </c>
      <c r="C27" s="64">
        <v>0.84109999999999996</v>
      </c>
      <c r="N27">
        <f t="shared" si="3"/>
        <v>16</v>
      </c>
      <c r="O27" s="4">
        <v>220</v>
      </c>
      <c r="P27">
        <f t="shared" si="4"/>
        <v>1.4666666666666666</v>
      </c>
      <c r="AF27" s="93"/>
    </row>
    <row r="28" spans="1:32" x14ac:dyDescent="0.35">
      <c r="A28" t="s">
        <v>266</v>
      </c>
      <c r="B28" s="3" t="s">
        <v>267</v>
      </c>
      <c r="C28" s="64">
        <v>0.2</v>
      </c>
      <c r="N28">
        <f t="shared" si="3"/>
        <v>20</v>
      </c>
      <c r="O28" s="4">
        <v>290</v>
      </c>
      <c r="P28">
        <f t="shared" si="4"/>
        <v>1.9333333333333333</v>
      </c>
      <c r="AF28" s="93"/>
    </row>
    <row r="29" spans="1:32" x14ac:dyDescent="0.35">
      <c r="A29" t="s">
        <v>268</v>
      </c>
      <c r="B29" s="3" t="s">
        <v>269</v>
      </c>
      <c r="C29" s="64">
        <v>0.22</v>
      </c>
      <c r="N29">
        <f t="shared" si="3"/>
        <v>40</v>
      </c>
      <c r="O29" s="4">
        <v>400</v>
      </c>
      <c r="P29">
        <f t="shared" si="4"/>
        <v>2.6666666666666665</v>
      </c>
      <c r="AF29" s="93"/>
    </row>
    <row r="30" spans="1:32" x14ac:dyDescent="0.35">
      <c r="A30" t="s">
        <v>270</v>
      </c>
      <c r="B30" s="3" t="s">
        <v>271</v>
      </c>
      <c r="C30" s="64">
        <v>0.11</v>
      </c>
      <c r="AF30" s="93"/>
    </row>
    <row r="31" spans="1:32" x14ac:dyDescent="0.35">
      <c r="A31" t="s">
        <v>272</v>
      </c>
      <c r="B31" s="3" t="s">
        <v>273</v>
      </c>
      <c r="C31" s="64">
        <v>0.22</v>
      </c>
      <c r="AF31" s="93"/>
    </row>
    <row r="32" spans="1:32" x14ac:dyDescent="0.35">
      <c r="A32" t="s">
        <v>274</v>
      </c>
      <c r="B32" s="3" t="s">
        <v>275</v>
      </c>
      <c r="C32" s="65">
        <v>0.3332</v>
      </c>
      <c r="AF32" s="93"/>
    </row>
    <row r="33" spans="1:32" x14ac:dyDescent="0.35">
      <c r="A33" t="s">
        <v>276</v>
      </c>
      <c r="B33" s="3" t="s">
        <v>277</v>
      </c>
      <c r="C33" s="64">
        <v>0.18390000000000001</v>
      </c>
      <c r="AF33" s="93"/>
    </row>
    <row r="34" spans="1:32" x14ac:dyDescent="0.35">
      <c r="A34" t="s">
        <v>278</v>
      </c>
      <c r="B34" s="3" t="s">
        <v>279</v>
      </c>
      <c r="C34" s="64">
        <v>0.21</v>
      </c>
    </row>
    <row r="35" spans="1:32" x14ac:dyDescent="0.35">
      <c r="A35" t="s">
        <v>280</v>
      </c>
      <c r="B35">
        <v>0</v>
      </c>
      <c r="C35" s="64">
        <v>0.32</v>
      </c>
    </row>
    <row r="36" spans="1:32" x14ac:dyDescent="0.35">
      <c r="A36" t="s">
        <v>281</v>
      </c>
      <c r="B36">
        <v>0</v>
      </c>
      <c r="C36" s="64">
        <v>0.32</v>
      </c>
    </row>
    <row r="37" spans="1:32" x14ac:dyDescent="0.35">
      <c r="A37" t="s">
        <v>282</v>
      </c>
      <c r="B37">
        <v>0</v>
      </c>
      <c r="C37" s="64">
        <v>0.32</v>
      </c>
    </row>
    <row r="38" spans="1:32" x14ac:dyDescent="0.35">
      <c r="A38" t="s">
        <v>283</v>
      </c>
      <c r="B38">
        <v>0</v>
      </c>
      <c r="C38" s="64">
        <v>0.32</v>
      </c>
    </row>
    <row r="39" spans="1:32" x14ac:dyDescent="0.35">
      <c r="A39" s="129" t="s">
        <v>284</v>
      </c>
      <c r="B39" s="129" t="s">
        <v>284</v>
      </c>
      <c r="C39" s="129" t="s">
        <v>284</v>
      </c>
    </row>
    <row r="40" spans="1:32" x14ac:dyDescent="0.35">
      <c r="A40" s="129" t="s">
        <v>285</v>
      </c>
      <c r="B40" s="129" t="s">
        <v>285</v>
      </c>
      <c r="C40" s="129" t="s">
        <v>285</v>
      </c>
    </row>
    <row r="41" spans="1:32" s="1" customFormat="1" x14ac:dyDescent="0.35">
      <c r="A41" s="129" t="s">
        <v>286</v>
      </c>
      <c r="B41" s="129" t="s">
        <v>286</v>
      </c>
      <c r="C41" s="129" t="s">
        <v>286</v>
      </c>
    </row>
    <row r="42" spans="1:32" x14ac:dyDescent="0.35">
      <c r="A42" s="129" t="s">
        <v>287</v>
      </c>
      <c r="B42" s="129" t="s">
        <v>287</v>
      </c>
      <c r="C42" s="129" t="s">
        <v>287</v>
      </c>
    </row>
    <row r="43" spans="1:32" x14ac:dyDescent="0.35">
      <c r="A43" s="129" t="s">
        <v>288</v>
      </c>
      <c r="B43" s="129" t="s">
        <v>288</v>
      </c>
      <c r="C43" s="129" t="s">
        <v>288</v>
      </c>
    </row>
    <row r="44" spans="1:32" x14ac:dyDescent="0.35">
      <c r="A44" s="129" t="s">
        <v>289</v>
      </c>
      <c r="B44" s="129" t="s">
        <v>289</v>
      </c>
      <c r="C44" s="129" t="s">
        <v>289</v>
      </c>
    </row>
    <row r="45" spans="1:32" x14ac:dyDescent="0.35">
      <c r="A45" s="129" t="s">
        <v>290</v>
      </c>
      <c r="B45" s="129" t="s">
        <v>290</v>
      </c>
      <c r="C45" s="129" t="s">
        <v>290</v>
      </c>
    </row>
    <row r="46" spans="1:32" x14ac:dyDescent="0.35">
      <c r="A46" s="129" t="s">
        <v>291</v>
      </c>
      <c r="B46" s="129" t="s">
        <v>291</v>
      </c>
      <c r="C46" s="129" t="s">
        <v>291</v>
      </c>
    </row>
    <row r="47" spans="1:32" x14ac:dyDescent="0.35">
      <c r="A47" s="129" t="s">
        <v>292</v>
      </c>
      <c r="B47" s="129" t="s">
        <v>292</v>
      </c>
      <c r="C47" s="129" t="s">
        <v>292</v>
      </c>
    </row>
    <row r="48" spans="1:32" x14ac:dyDescent="0.35">
      <c r="A48" s="129" t="s">
        <v>293</v>
      </c>
      <c r="B48" s="129" t="s">
        <v>293</v>
      </c>
      <c r="C48" s="129" t="s">
        <v>293</v>
      </c>
    </row>
    <row r="49" spans="1:42" x14ac:dyDescent="0.35">
      <c r="A49" s="129" t="s">
        <v>294</v>
      </c>
      <c r="B49" s="129" t="s">
        <v>294</v>
      </c>
      <c r="C49" s="129" t="s">
        <v>294</v>
      </c>
    </row>
    <row r="50" spans="1:42" x14ac:dyDescent="0.35">
      <c r="A50" s="129" t="s">
        <v>295</v>
      </c>
      <c r="B50" s="129" t="s">
        <v>295</v>
      </c>
      <c r="C50" s="129" t="s">
        <v>295</v>
      </c>
    </row>
    <row r="51" spans="1:42" x14ac:dyDescent="0.35">
      <c r="A51" s="129" t="s">
        <v>296</v>
      </c>
      <c r="B51" s="129" t="s">
        <v>296</v>
      </c>
      <c r="C51" s="129" t="s">
        <v>296</v>
      </c>
    </row>
    <row r="52" spans="1:42" x14ac:dyDescent="0.35">
      <c r="A52" s="129" t="s">
        <v>297</v>
      </c>
      <c r="B52" s="129" t="s">
        <v>297</v>
      </c>
      <c r="C52" s="129" t="s">
        <v>297</v>
      </c>
    </row>
    <row r="53" spans="1:42" x14ac:dyDescent="0.35">
      <c r="A53" s="129" t="s">
        <v>298</v>
      </c>
      <c r="B53" s="129" t="s">
        <v>298</v>
      </c>
      <c r="C53" s="129" t="s">
        <v>298</v>
      </c>
    </row>
    <row r="54" spans="1:42" x14ac:dyDescent="0.35">
      <c r="A54" s="129" t="s">
        <v>299</v>
      </c>
      <c r="B54" s="129" t="s">
        <v>299</v>
      </c>
      <c r="C54" s="129" t="s">
        <v>299</v>
      </c>
    </row>
    <row r="55" spans="1:42" x14ac:dyDescent="0.35">
      <c r="A55" s="129" t="s">
        <v>300</v>
      </c>
      <c r="B55" s="129" t="s">
        <v>300</v>
      </c>
      <c r="C55" s="129" t="s">
        <v>300</v>
      </c>
    </row>
    <row r="56" spans="1:42" x14ac:dyDescent="0.35">
      <c r="A56" s="129" t="s">
        <v>301</v>
      </c>
      <c r="B56" s="129" t="s">
        <v>301</v>
      </c>
      <c r="C56" s="129" t="s">
        <v>301</v>
      </c>
    </row>
    <row r="57" spans="1:42" x14ac:dyDescent="0.35">
      <c r="A57" s="129" t="s">
        <v>302</v>
      </c>
      <c r="B57" s="129" t="s">
        <v>302</v>
      </c>
      <c r="C57" s="129" t="s">
        <v>302</v>
      </c>
    </row>
    <row r="58" spans="1:42" x14ac:dyDescent="0.35">
      <c r="A58" s="129" t="s">
        <v>303</v>
      </c>
      <c r="B58" s="129" t="s">
        <v>303</v>
      </c>
      <c r="C58" s="129" t="s">
        <v>303</v>
      </c>
    </row>
    <row r="60" spans="1:42" x14ac:dyDescent="0.35">
      <c r="A60" s="1" t="s">
        <v>97</v>
      </c>
      <c r="B60" s="1" t="s">
        <v>109</v>
      </c>
      <c r="C60" s="1" t="s">
        <v>121</v>
      </c>
      <c r="D60" s="1" t="s">
        <v>132</v>
      </c>
      <c r="E60" s="1" t="s">
        <v>143</v>
      </c>
      <c r="F60" s="1" t="s">
        <v>151</v>
      </c>
      <c r="G60" s="1" t="s">
        <v>158</v>
      </c>
      <c r="H60" s="1" t="s">
        <v>164</v>
      </c>
      <c r="I60" s="1" t="s">
        <v>170</v>
      </c>
      <c r="J60" s="1" t="s">
        <v>176</v>
      </c>
      <c r="K60" s="1" t="s">
        <v>182</v>
      </c>
      <c r="L60" s="1" t="s">
        <v>188</v>
      </c>
      <c r="M60" s="1" t="s">
        <v>194</v>
      </c>
      <c r="N60" s="1" t="s">
        <v>201</v>
      </c>
      <c r="O60" s="1" t="s">
        <v>207</v>
      </c>
      <c r="P60" s="1" t="s">
        <v>213</v>
      </c>
      <c r="Q60" s="1" t="s">
        <v>219</v>
      </c>
      <c r="R60" s="1" t="s">
        <v>224</v>
      </c>
      <c r="S60" s="1" t="s">
        <v>230</v>
      </c>
      <c r="T60" s="1" t="s">
        <v>236</v>
      </c>
      <c r="U60" s="1" t="s">
        <v>241</v>
      </c>
      <c r="V60" s="1" t="s">
        <v>249</v>
      </c>
      <c r="W60" s="1" t="s">
        <v>254</v>
      </c>
      <c r="X60" s="1" t="s">
        <v>258</v>
      </c>
      <c r="Y60" s="1" t="s">
        <v>261</v>
      </c>
      <c r="Z60" s="1" t="s">
        <v>264</v>
      </c>
      <c r="AA60" s="1" t="s">
        <v>266</v>
      </c>
      <c r="AB60" s="1" t="s">
        <v>268</v>
      </c>
      <c r="AC60" s="1" t="s">
        <v>270</v>
      </c>
      <c r="AD60" s="1" t="s">
        <v>272</v>
      </c>
      <c r="AE60" s="1" t="s">
        <v>274</v>
      </c>
      <c r="AF60" s="1" t="s">
        <v>276</v>
      </c>
      <c r="AG60" s="1" t="s">
        <v>278</v>
      </c>
      <c r="AH60" s="1" t="s">
        <v>280</v>
      </c>
      <c r="AI60" s="1" t="s">
        <v>281</v>
      </c>
      <c r="AJ60" s="1" t="s">
        <v>282</v>
      </c>
      <c r="AK60" s="1" t="s">
        <v>283</v>
      </c>
      <c r="AL60" s="1"/>
      <c r="AM60" s="1"/>
      <c r="AN60" s="1"/>
      <c r="AO60" s="1"/>
      <c r="AP60" s="1"/>
    </row>
    <row r="61" spans="1:42" x14ac:dyDescent="0.35">
      <c r="A61" s="33" t="str">
        <f>Costs!B62</f>
        <v>Insulation: general</v>
      </c>
      <c r="B61" s="33" t="str">
        <f>Costs!B70</f>
        <v>Concrete: general (linear)</v>
      </c>
      <c r="C61" s="33" t="str">
        <f>Costs!B76</f>
        <v>Bricks: common (no mortar)</v>
      </c>
      <c r="D61" s="33" t="str">
        <f>Costs!B77</f>
        <v>Tiles and ceramics: general</v>
      </c>
      <c r="E61" s="33" t="str">
        <f>Costs!B83</f>
        <v>Concrete bricks/blocks, tiles and ceramics in mixtures: general</v>
      </c>
      <c r="F61" s="33" t="str">
        <f>Costs!B88</f>
        <v>Wood - untreated: timber (lengths) general</v>
      </c>
      <c r="G61" s="33" t="str">
        <f>Costs!B91</f>
        <v>Treated wood/glass/plastic: general</v>
      </c>
      <c r="H61" s="33" t="str">
        <f>Costs!B98</f>
        <v>Glass - uncontaminated: general</v>
      </c>
      <c r="I61" s="33" t="str">
        <f>Costs!B102</f>
        <v>Plastic - excludes packaging waste: general</v>
      </c>
      <c r="J61" s="33" t="str">
        <f>Costs!B105</f>
        <v>Bituminous mixtures containing coal tar</v>
      </c>
      <c r="K61" s="33" t="str">
        <f>Costs!B106</f>
        <v>Other bituminous mixtures: dense bitumen Macadam base course (up to 100mm)</v>
      </c>
      <c r="L61" s="33" t="str">
        <f>Costs!B111</f>
        <v>Coal tar and tarred products</v>
      </c>
      <c r="M61" s="33" t="str">
        <f>Costs!B112</f>
        <v>Copper, bronze and brass</v>
      </c>
      <c r="N61" s="33" t="str">
        <f>Costs!B113</f>
        <v>Aluminium: general</v>
      </c>
      <c r="O61" s="33" t="str">
        <f>Costs!B114</f>
        <v>Lead: general</v>
      </c>
      <c r="P61" s="33" t="str">
        <f>Costs!B115</f>
        <v>Iron and steel: general</v>
      </c>
      <c r="Q61" s="33" t="str">
        <f>Costs!B118</f>
        <v>Tin</v>
      </c>
      <c r="R61" s="33" t="str">
        <f>Costs!B119</f>
        <v>Mixed metals</v>
      </c>
      <c r="S61" s="33" t="str">
        <f>Costs!B120</f>
        <v>Cables</v>
      </c>
      <c r="T61" s="33" t="str">
        <f>Costs!B121</f>
        <v>Inert soil and stones</v>
      </c>
      <c r="U61" s="33" t="str">
        <f>Costs!B122</f>
        <v>Dredging spoil</v>
      </c>
      <c r="V61" s="33" t="str">
        <f>Costs!B123</f>
        <v>Gypsum materials: plasterboard</v>
      </c>
      <c r="W61" s="33" t="str">
        <f>Costs!B124</f>
        <v>Un-used or un-set cement</v>
      </c>
      <c r="X61" s="33" t="str">
        <f>Costs!B125</f>
        <v>Mixed construction and demolition wastes</v>
      </c>
      <c r="Y61" s="33" t="str">
        <f>Costs!B149</f>
        <v>Paints and varnishes containing organic solvents: general</v>
      </c>
      <c r="Z61" s="33" t="str">
        <f>Costs!B152</f>
        <v>Paints and varnishes not containing organic solvents: general</v>
      </c>
      <c r="AA61" s="33" t="str">
        <f>Costs!B155</f>
        <v>Packaging: Paper/Card</v>
      </c>
      <c r="AB61" s="33" t="str">
        <f>Costs!B156</f>
        <v>Packaging: Plastic</v>
      </c>
      <c r="AC61" t="str">
        <f>Costs!B175</f>
        <v>Packaging: Wood</v>
      </c>
      <c r="AD61" s="33" t="str">
        <f>Costs!B157</f>
        <v>Packaging: Metal</v>
      </c>
      <c r="AE61" s="33" t="str">
        <f>Costs!B158</f>
        <v>Packaging: Glass</v>
      </c>
      <c r="AF61" s="33" t="str">
        <f>Costs!B159</f>
        <v>Packaging: Textiles</v>
      </c>
      <c r="AG61" s="33" t="str">
        <f>Costs!B160</f>
        <v>Packaging: Paint cans (Metal /Plastic)</v>
      </c>
      <c r="AH61" t="str">
        <f>Costs!B2</f>
        <v>[NAME 1] Other Each (insert cost figure)</v>
      </c>
      <c r="AI61" t="str">
        <f>Costs!B11</f>
        <v>[NAME 1] Other Linear meter (insert cost figure)</v>
      </c>
      <c r="AJ61" t="str">
        <f>Costs!B20</f>
        <v>[Carpet tiles] Other Square meter (insert cost figure)</v>
      </c>
      <c r="AK61" t="str">
        <f>Costs!B29</f>
        <v>[NAME 1] Other Volume/cubic meter (insert cost figure)</v>
      </c>
    </row>
    <row r="62" spans="1:42" x14ac:dyDescent="0.35">
      <c r="A62" s="33" t="str">
        <f>Costs!B63</f>
        <v>Insulation: mat or quilt insulation up to 200mm</v>
      </c>
      <c r="B62" s="33" t="str">
        <f>Costs!B71</f>
        <v>Concrete: general (volume)</v>
      </c>
      <c r="C62" s="33" t="str">
        <f>Costs!B164</f>
        <v>Bricks: concrete block (no mortar)</v>
      </c>
      <c r="D62" s="33" t="str">
        <f>Costs!B78</f>
        <v>Tiles and ceramics: clay tiles</v>
      </c>
      <c r="E62" s="33" t="str">
        <f>Costs!B84</f>
        <v>Concrete bricks/blocks, tiles and ceramics in mixtures: bricks, common bricks including mortar</v>
      </c>
      <c r="F62" s="33" t="str">
        <f>Costs!B89</f>
        <v>Wood - untreated: (sheets) general</v>
      </c>
      <c r="G62" s="33" t="str">
        <f>Costs!B92</f>
        <v>Treated wood/glass/plastic: timber (lengths) - wall or partition members</v>
      </c>
      <c r="H62" s="33" t="str">
        <f>Costs!B99</f>
        <v>Glass - uncontaminated: ordinary translucent</v>
      </c>
      <c r="I62" s="33" t="str">
        <f>Costs!B103</f>
        <v>Plastic - excludes packaging waste: plastic drain pipe</v>
      </c>
      <c r="J62" s="130"/>
      <c r="K62" s="33" t="str">
        <f>Costs!B107</f>
        <v>Other bituminous mixtures: dense bitumen Macadam base course (over 100mm)</v>
      </c>
      <c r="L62" s="130"/>
      <c r="M62" s="130"/>
      <c r="N62" s="33" t="str">
        <f>Costs!B168</f>
        <v>Aluminium: roof covering</v>
      </c>
      <c r="O62" s="33" t="str">
        <f>Costs!B172</f>
        <v>Lead: sheet covering/flashing</v>
      </c>
      <c r="P62" s="33" t="str">
        <f>Costs!B116</f>
        <v>Iron and steel: steel, framing, fabrication - column</v>
      </c>
      <c r="Q62" s="130"/>
      <c r="R62" s="130"/>
      <c r="S62" s="130"/>
      <c r="T62" s="130"/>
      <c r="U62" s="130"/>
      <c r="V62" s="33" t="str">
        <f>Costs!B173</f>
        <v>Gypsum materials: plaster bag</v>
      </c>
      <c r="W62" s="130"/>
      <c r="X62" s="33" t="str">
        <f>Costs!B126</f>
        <v>Insulation</v>
      </c>
      <c r="Y62" s="33" t="str">
        <f>Costs!B150</f>
        <v>Paints and varnishes containing organic solvents: paint</v>
      </c>
      <c r="Z62" s="33" t="str">
        <f>Costs!B153</f>
        <v>Paints and varnishes not containing organic solvents: emulsion</v>
      </c>
      <c r="AA62" s="130"/>
      <c r="AB62" s="130"/>
      <c r="AC62" s="129"/>
      <c r="AD62" s="130"/>
      <c r="AE62" s="130"/>
      <c r="AF62" s="130"/>
      <c r="AG62" s="130"/>
      <c r="AH62" t="str">
        <f>Costs!B3</f>
        <v>[NAME2] Other Each (insert cost figure)</v>
      </c>
      <c r="AI62" t="str">
        <f>Costs!B12</f>
        <v>[NAME 2] Other Linear meter (insert cost figure)</v>
      </c>
      <c r="AJ62" t="str">
        <f>Costs!B21</f>
        <v>[Carpet - roll] Other Square meter (insert cost figure)</v>
      </c>
      <c r="AK62" t="str">
        <f>Costs!B30</f>
        <v>[NAME 2] Other Volume/cubic meter (insert cost figure)</v>
      </c>
    </row>
    <row r="63" spans="1:42" x14ac:dyDescent="0.35">
      <c r="A63" s="33" t="str">
        <f>Costs!B64</f>
        <v>Insulation: mat or quilt insulation over 200mm</v>
      </c>
      <c r="B63" s="33" t="str">
        <f>Costs!B72</f>
        <v>Concrete: in-situ, basic mix, GEN 1 (10N), delivered to site from plant</v>
      </c>
      <c r="C63" s="130"/>
      <c r="D63" s="33" t="str">
        <f>Costs!B79</f>
        <v>Tiles and ceramics: concrete tiles - plain</v>
      </c>
      <c r="E63" s="33" t="str">
        <f>Costs!B85</f>
        <v>Concrete bricks/blocks, tiles and ceramics in mixtures: bricks, engineering bricks including mortar</v>
      </c>
      <c r="F63" s="33" t="str">
        <f>Costs!B90</f>
        <v>Wood - untreated: hardwood (volume)</v>
      </c>
      <c r="G63" s="33" t="str">
        <f>Costs!B93</f>
        <v>Treated wood/glass/plastic: timber  - plywood, marine quality</v>
      </c>
      <c r="H63" s="33" t="str">
        <f>Costs!B100</f>
        <v>Glass - uncontaminated: factory-made double hermetically sealed</v>
      </c>
      <c r="I63" s="33" t="str">
        <f>Costs!B104</f>
        <v>Plastic - excludes packaging waste: plastic Sheeting</v>
      </c>
      <c r="J63" s="130"/>
      <c r="K63" s="33" t="str">
        <f>Costs!B108</f>
        <v>Other bituminous mixtures: hot rolled asphalt base course (up to 150mm)</v>
      </c>
      <c r="L63" s="130"/>
      <c r="M63" s="130"/>
      <c r="N63" s="33" t="str">
        <f>Costs!B169</f>
        <v>Aluminium: pipe</v>
      </c>
      <c r="O63" s="130"/>
      <c r="P63" s="33" t="str">
        <f>Costs!B117</f>
        <v>Iron and steel: steel, framing, fabrication - purlin/cladding rail (linear m)</v>
      </c>
      <c r="Q63" s="130"/>
      <c r="R63" s="130"/>
      <c r="S63" s="130"/>
      <c r="T63" s="130"/>
      <c r="U63" s="130"/>
      <c r="V63" s="33" t="str">
        <f>Costs!B176</f>
        <v>Gypsum materials: set plaster (volume)</v>
      </c>
      <c r="W63" s="130"/>
      <c r="X63" s="33" t="str">
        <f>Costs!B127</f>
        <v>Concrete</v>
      </c>
      <c r="Y63" s="33" t="str">
        <f>Costs!B151</f>
        <v>Paints and varnishes containing organic solvents: stain</v>
      </c>
      <c r="Z63" s="33" t="str">
        <f>Costs!B154</f>
        <v>Paints and varnishes not containing organic solvents: polyurethane</v>
      </c>
      <c r="AA63" s="130"/>
      <c r="AB63" s="130"/>
      <c r="AC63" s="129"/>
      <c r="AD63" s="130"/>
      <c r="AE63" s="130"/>
      <c r="AF63" s="130"/>
      <c r="AG63" s="130"/>
      <c r="AH63" t="str">
        <f>Costs!B4</f>
        <v>[NAME 3] Other Each (insert cost figure)</v>
      </c>
      <c r="AI63" t="str">
        <f>Costs!B13</f>
        <v>[NAME 3] Other Linear meter (insert cost figure)</v>
      </c>
      <c r="AJ63" t="str">
        <f>Costs!B22</f>
        <v>[NAME 3] Other Square meter (insert cost figure)</v>
      </c>
      <c r="AK63" t="str">
        <f>Costs!B31</f>
        <v>[NAME 3] Other Volume/cubic meter (insert cost figure)</v>
      </c>
    </row>
    <row r="64" spans="1:42" x14ac:dyDescent="0.35">
      <c r="A64" s="33" t="str">
        <f>Costs!B65</f>
        <v>Insulation: board or slab insulation up to 75mm</v>
      </c>
      <c r="B64" s="33" t="str">
        <f>Costs!B73</f>
        <v>Concrete:  in-situ, basic mix, RC25/30, delivered to site from plant</v>
      </c>
      <c r="C64" s="130"/>
      <c r="D64" s="33" t="str">
        <f>Costs!B80</f>
        <v>Tiles and ceramics: concrete tiles - interlocking</v>
      </c>
      <c r="E64" s="33" t="str">
        <f>Costs!B86</f>
        <v>Concrete bricks/blocks, tiles and ceramics in mixtures: clay floor quarries in cement and sand</v>
      </c>
      <c r="F64" s="33" t="str">
        <f>Costs!B166</f>
        <v>Wood: hardwood lengths</v>
      </c>
      <c r="G64" s="33" t="str">
        <f>Costs!B94</f>
        <v>Treated wood/glass/plastic: timber - Glulam</v>
      </c>
      <c r="H64" s="33" t="str">
        <f>Costs!B101</f>
        <v>Glass - uncontaminated: Factory-made triple hermetically sealed</v>
      </c>
      <c r="I64" s="130"/>
      <c r="J64" s="130"/>
      <c r="K64" s="33" t="str">
        <f>Costs!B109</f>
        <v>Other bituminous mixtures: hot rolled asphalt base course (over 150mm)</v>
      </c>
      <c r="L64" s="130"/>
      <c r="M64" s="130"/>
      <c r="N64" s="130"/>
      <c r="O64" s="130"/>
      <c r="P64" s="33" t="str">
        <f>Costs!B170</f>
        <v>Iron and steel: cast Iron pipe</v>
      </c>
      <c r="Q64" s="130"/>
      <c r="R64" s="130"/>
      <c r="S64" s="130"/>
      <c r="T64" s="130"/>
      <c r="U64" s="130"/>
      <c r="V64" s="130"/>
      <c r="W64" s="130"/>
      <c r="X64" s="33" t="str">
        <f>Costs!B128</f>
        <v>Bricks</v>
      </c>
      <c r="Y64" s="130"/>
      <c r="Z64" s="130"/>
      <c r="AA64" s="130"/>
      <c r="AB64" s="130"/>
      <c r="AC64" s="129"/>
      <c r="AD64" s="130"/>
      <c r="AE64" s="130"/>
      <c r="AF64" s="130"/>
      <c r="AG64" s="130"/>
      <c r="AH64" t="str">
        <f>Costs!B5</f>
        <v>[NAME 4] Other Each (insert cost figure)</v>
      </c>
      <c r="AI64" t="str">
        <f>Costs!B14</f>
        <v>[NAME 4] Other Linear meter (insert cost figure)</v>
      </c>
      <c r="AJ64" t="str">
        <f>Costs!B23</f>
        <v>[NAME 4] Other Square meter (insert cost figure)</v>
      </c>
      <c r="AK64" t="str">
        <f>Costs!B32</f>
        <v>[NAME 4] Other Volume/cubic meter (insert cost figure)</v>
      </c>
    </row>
    <row r="65" spans="1:37" x14ac:dyDescent="0.35">
      <c r="A65" s="33" t="str">
        <f>Costs!B66</f>
        <v>Insulation: board or slab insulation over 75mm</v>
      </c>
      <c r="B65" s="33" t="str">
        <f>Costs!B74</f>
        <v>Concrete: in-situ, site mixed, mix 10N/mm2 cement</v>
      </c>
      <c r="C65" s="130"/>
      <c r="D65" s="33" t="str">
        <f>Costs!B81</f>
        <v>Tiles and ceramics: fibre cement slates - roof</v>
      </c>
      <c r="E65" s="33" t="str">
        <f>Costs!B87</f>
        <v>Concrete bricks/blocks, tiles and ceramics in mixtures: slate floor tiles</v>
      </c>
      <c r="F65" s="130"/>
      <c r="G65" s="33" t="str">
        <f>Costs!B95</f>
        <v>Treated wood/glass/plastic: timber  - Pretreatment</v>
      </c>
      <c r="H65" s="33" t="str">
        <f>Costs!B167</f>
        <v>Glass - uncontaminated: standard Casement windows</v>
      </c>
      <c r="I65" s="130"/>
      <c r="J65" s="130"/>
      <c r="K65" s="33" t="str">
        <f>Costs!B110</f>
        <v>Other bituminous mixtures: Macadam surface course</v>
      </c>
      <c r="L65" s="130"/>
      <c r="M65" s="130"/>
      <c r="N65" s="130"/>
      <c r="O65" s="130"/>
      <c r="P65" s="33" t="str">
        <f>Costs!B171</f>
        <v>Iron and steel: lattice beam</v>
      </c>
      <c r="Q65" s="130"/>
      <c r="R65" s="130"/>
      <c r="S65" s="130"/>
      <c r="T65" s="130"/>
      <c r="U65" s="130"/>
      <c r="V65" s="130"/>
      <c r="W65" s="130"/>
      <c r="X65" s="33" t="str">
        <f>Costs!B129</f>
        <v>Tiles and ceramics</v>
      </c>
      <c r="Y65" s="130"/>
      <c r="Z65" s="130"/>
      <c r="AA65" s="130"/>
      <c r="AB65" s="130"/>
      <c r="AC65" s="129"/>
      <c r="AD65" s="130"/>
      <c r="AE65" s="130"/>
      <c r="AF65" s="130"/>
      <c r="AG65" s="130"/>
      <c r="AH65" t="str">
        <f>Costs!B6</f>
        <v>[NAME 5] Other Each (insert cost figure)</v>
      </c>
      <c r="AI65" t="str">
        <f>Costs!B15</f>
        <v>[NAME 5] Other Linear meter (insert cost figure)</v>
      </c>
      <c r="AJ65" t="str">
        <f>Costs!B24</f>
        <v>[NAME 5] Other Square meter (insert cost figure)</v>
      </c>
      <c r="AK65" t="str">
        <f>Costs!B33</f>
        <v>[NAME 5] Other Volume/cubic meter (insert cost figure)</v>
      </c>
    </row>
    <row r="66" spans="1:37" x14ac:dyDescent="0.35">
      <c r="A66" s="33" t="str">
        <f>Costs!B67</f>
        <v>Insulation: styrofoam</v>
      </c>
      <c r="B66" s="33" t="str">
        <f>Costs!B75</f>
        <v>Concrete: precast - prestressed suspended floor</v>
      </c>
      <c r="C66" s="130"/>
      <c r="D66" s="33" t="str">
        <f>Costs!B82</f>
        <v>Tiles and ceramics: natural slates - roof</v>
      </c>
      <c r="E66" s="33" t="str">
        <f>Costs!B165</f>
        <v>Concrete bricks/blocks, tiles and ceramics in mixtures: concrete blockwork including mortar</v>
      </c>
      <c r="F66" s="130"/>
      <c r="G66" s="33" t="str">
        <f>Costs!B96</f>
        <v>Treated wood/glass/plastic: glass - laminated, safety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33" t="str">
        <f>Costs!B130</f>
        <v>Concrete bricks tiles and ceramics in mixtures</v>
      </c>
      <c r="Y66" s="130"/>
      <c r="Z66" s="130"/>
      <c r="AA66" s="130"/>
      <c r="AB66" s="130"/>
      <c r="AC66" s="129"/>
      <c r="AD66" s="130"/>
      <c r="AE66" s="130"/>
      <c r="AF66" s="130"/>
      <c r="AG66" s="130"/>
      <c r="AH66" t="str">
        <f>Costs!B7</f>
        <v>[NAME 6] Other Each (insert cost figure)</v>
      </c>
      <c r="AI66" t="str">
        <f>Costs!B16</f>
        <v>[NAME 6] Other Linear meter (insert cost figure)</v>
      </c>
      <c r="AJ66" t="str">
        <f>Costs!B25</f>
        <v>[NAME 6] Other Square meter (insert cost figure)</v>
      </c>
      <c r="AK66" t="str">
        <f>Costs!B34</f>
        <v>[NAME 6] Other Volume/cubic meter (insert cost figure)</v>
      </c>
    </row>
    <row r="67" spans="1:37" x14ac:dyDescent="0.35">
      <c r="A67" s="33" t="str">
        <f>Costs!B68</f>
        <v>Insulation: cellular glass insulation</v>
      </c>
      <c r="B67" s="33" t="str">
        <f>Costs!B161</f>
        <v>Concrete: plain in situ ready mixed - C10</v>
      </c>
      <c r="C67" s="130"/>
      <c r="D67" s="130"/>
      <c r="E67" s="130"/>
      <c r="F67" s="130"/>
      <c r="G67" s="33" t="str">
        <f>Costs!B97</f>
        <v>Treated wood/glass/plastic: plastic window frames (includes glazing 'fixed light', EPDM, seals etc)</v>
      </c>
      <c r="H67" s="130"/>
      <c r="I67" s="130"/>
      <c r="J67" s="33"/>
      <c r="K67" s="130"/>
      <c r="L67" s="33"/>
      <c r="M67" s="33"/>
      <c r="N67" s="130"/>
      <c r="O67" s="130"/>
      <c r="P67" s="130"/>
      <c r="Q67" s="33"/>
      <c r="R67" s="33"/>
      <c r="S67" s="33"/>
      <c r="T67" s="33"/>
      <c r="U67" s="33"/>
      <c r="V67" s="130"/>
      <c r="W67" s="33"/>
      <c r="X67" s="33" t="str">
        <f>Costs!B131</f>
        <v>Wood untreated</v>
      </c>
      <c r="Y67" s="130"/>
      <c r="Z67" s="130"/>
      <c r="AA67" s="33"/>
      <c r="AB67" s="33"/>
      <c r="AD67" s="33"/>
      <c r="AE67" s="33"/>
      <c r="AF67" s="33"/>
      <c r="AG67" s="33"/>
      <c r="AH67" t="str">
        <f>Costs!B8</f>
        <v>[NAME 7] Other Each (insert cost figure)</v>
      </c>
      <c r="AI67" t="str">
        <f>Costs!B17</f>
        <v>[NAME 7] Other Linear meter (insert cost figure)</v>
      </c>
      <c r="AJ67" t="str">
        <f>Costs!B26</f>
        <v>[NAME 7] Other Square meter (insert cost figure)</v>
      </c>
      <c r="AK67" t="str">
        <f>Costs!B35</f>
        <v>[NAME 7] Other Volume/cubic meter (insert cost figure)</v>
      </c>
    </row>
    <row r="68" spans="1:37" x14ac:dyDescent="0.35">
      <c r="A68" s="33" t="str">
        <f>Costs!B69</f>
        <v>Insulation: sheepswool</v>
      </c>
      <c r="B68" s="33" t="str">
        <f>Costs!B162</f>
        <v>Concrete: reinforced in situ ready mixed - 25N</v>
      </c>
      <c r="C68" s="33"/>
      <c r="D68" s="130"/>
      <c r="E68" s="130"/>
      <c r="F68" s="130"/>
      <c r="G68" s="130"/>
      <c r="H68" s="130"/>
      <c r="I68" s="130"/>
      <c r="J68" s="33"/>
      <c r="K68" s="130"/>
      <c r="L68" s="33"/>
      <c r="M68" s="33"/>
      <c r="N68" s="130"/>
      <c r="O68" s="33"/>
      <c r="P68" s="130"/>
      <c r="Q68" s="33"/>
      <c r="R68" s="33"/>
      <c r="S68" s="33"/>
      <c r="T68" s="33"/>
      <c r="U68" s="33"/>
      <c r="V68" s="33"/>
      <c r="W68" s="33"/>
      <c r="X68" s="33" t="str">
        <f>Costs!B132</f>
        <v>Treated wood glass plastic including wood plastic window frames</v>
      </c>
      <c r="Y68" s="130"/>
      <c r="Z68" s="130"/>
      <c r="AA68" s="33"/>
      <c r="AB68" s="33"/>
      <c r="AD68" s="33"/>
      <c r="AE68" s="33"/>
      <c r="AF68" s="33"/>
      <c r="AG68" s="33"/>
      <c r="AH68" t="str">
        <f>Costs!B9</f>
        <v>[NAME 8] Other Each (insert cost figure)</v>
      </c>
      <c r="AI68" t="str">
        <f>Costs!B18</f>
        <v>[NAME 8] Other Linear meter (insert cost figure)</v>
      </c>
      <c r="AJ68" t="str">
        <f>Costs!B27</f>
        <v>[NAME 8] Other Square meter (insert cost figure)</v>
      </c>
      <c r="AK68" t="str">
        <f>Costs!B36</f>
        <v>[NAME 8] Other Volume/cubic meter (insert cost figure)</v>
      </c>
    </row>
    <row r="69" spans="1:37" x14ac:dyDescent="0.35">
      <c r="A69" s="130"/>
      <c r="B69" s="33" t="str">
        <f>Costs!B163</f>
        <v>Concrete: precast - prestressed beam and block floor</v>
      </c>
      <c r="C69" s="33"/>
      <c r="D69" s="130"/>
      <c r="E69" s="130"/>
      <c r="F69" s="130"/>
      <c r="G69" s="130"/>
      <c r="H69" s="130"/>
      <c r="I69" s="33"/>
      <c r="J69" s="33"/>
      <c r="K69" s="130"/>
      <c r="L69" s="33"/>
      <c r="M69" s="33"/>
      <c r="N69" s="33"/>
      <c r="O69" s="33"/>
      <c r="P69" s="130"/>
      <c r="Q69" s="33"/>
      <c r="R69" s="33"/>
      <c r="S69" s="33"/>
      <c r="T69" s="33"/>
      <c r="U69" s="33"/>
      <c r="V69" s="33"/>
      <c r="W69" s="33"/>
      <c r="X69" s="33" t="str">
        <f>Costs!B133</f>
        <v>Glass</v>
      </c>
      <c r="Y69" s="33"/>
      <c r="Z69" s="33"/>
      <c r="AA69" s="33"/>
      <c r="AB69" s="33"/>
      <c r="AD69" s="33"/>
      <c r="AE69" s="33"/>
      <c r="AF69" s="33"/>
      <c r="AG69" s="33"/>
      <c r="AH69" t="str">
        <f>Costs!B10</f>
        <v>[NAME 9] Other Each (insert cost figure)</v>
      </c>
      <c r="AI69" t="str">
        <f>Costs!B19</f>
        <v>[NAME 9] Other Linear meter (insert cost figure)</v>
      </c>
      <c r="AJ69" t="str">
        <f>Costs!B28</f>
        <v>[NAME 9] Other Square meter (insert cost figure)</v>
      </c>
      <c r="AK69" t="str">
        <f>Costs!B37</f>
        <v>[NAME 9] Other Volume/cubic meter (insert cost figure)</v>
      </c>
    </row>
    <row r="70" spans="1:37" x14ac:dyDescent="0.35">
      <c r="A70" s="130"/>
      <c r="B70" s="130"/>
      <c r="C70" s="33"/>
      <c r="D70" s="130"/>
      <c r="E70" s="130"/>
      <c r="F70" s="33"/>
      <c r="G70" s="130"/>
      <c r="H70" s="130"/>
      <c r="I70" s="33"/>
      <c r="J70" s="33"/>
      <c r="K70" s="130"/>
      <c r="L70" s="33"/>
      <c r="M70" s="33"/>
      <c r="N70" s="33"/>
      <c r="O70" s="33"/>
      <c r="P70" s="130"/>
      <c r="Q70" s="33"/>
      <c r="R70" s="33"/>
      <c r="S70" s="33"/>
      <c r="T70" s="33"/>
      <c r="U70" s="33"/>
      <c r="V70" s="33"/>
      <c r="W70" s="33"/>
      <c r="X70" s="33" t="str">
        <f>Costs!B134</f>
        <v>Plastic</v>
      </c>
      <c r="Y70" s="33"/>
      <c r="Z70" s="33"/>
      <c r="AA70" s="33"/>
      <c r="AB70" s="33"/>
      <c r="AC70" s="33"/>
      <c r="AD70" s="33"/>
      <c r="AE70" s="33"/>
      <c r="AF70" s="33"/>
      <c r="AH70" t="str">
        <f>Costs!B174</f>
        <v>Other [Zero Cost]</v>
      </c>
      <c r="AI70" s="129"/>
      <c r="AJ70" s="129"/>
      <c r="AK70" s="129"/>
    </row>
    <row r="71" spans="1:37" x14ac:dyDescent="0.35">
      <c r="A71" s="130"/>
      <c r="B71" s="130"/>
      <c r="C71" s="33"/>
      <c r="D71" s="130"/>
      <c r="E71" s="130"/>
      <c r="F71" s="33"/>
      <c r="G71" s="130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 t="str">
        <f>Costs!B135</f>
        <v>Bituminous</v>
      </c>
      <c r="Y71" s="33"/>
      <c r="Z71" s="33"/>
      <c r="AA71" s="33"/>
      <c r="AB71" s="33"/>
      <c r="AC71" s="33"/>
      <c r="AD71" s="33"/>
      <c r="AE71" s="33"/>
      <c r="AF71" s="33"/>
      <c r="AH71" s="129"/>
      <c r="AI71" s="129"/>
      <c r="AJ71" s="129"/>
      <c r="AK71" s="129"/>
    </row>
    <row r="72" spans="1:37" x14ac:dyDescent="0.35">
      <c r="A72" s="130"/>
      <c r="B72" s="130"/>
      <c r="C72" s="33"/>
      <c r="D72" s="33"/>
      <c r="E72" s="33"/>
      <c r="F72" s="33"/>
      <c r="G72" s="130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 t="str">
        <f>Costs!B136</f>
        <v>Coal tar and tarred products</v>
      </c>
      <c r="Y72" s="33"/>
      <c r="Z72" s="33"/>
      <c r="AA72" s="33"/>
      <c r="AB72" s="33"/>
      <c r="AC72" s="33"/>
      <c r="AD72" s="33"/>
      <c r="AE72" s="33"/>
      <c r="AF72" s="33"/>
      <c r="AH72" s="129"/>
      <c r="AI72" s="129"/>
      <c r="AJ72" s="129"/>
      <c r="AK72" s="129"/>
    </row>
    <row r="73" spans="1:37" x14ac:dyDescent="0.35">
      <c r="A73" s="130"/>
      <c r="B73" s="130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 t="str">
        <f>Costs!B137</f>
        <v>Copper bronze and brass</v>
      </c>
      <c r="Y73" s="33"/>
      <c r="Z73" s="33"/>
      <c r="AA73" s="33"/>
      <c r="AB73" s="33"/>
      <c r="AC73" s="33"/>
      <c r="AD73" s="33"/>
      <c r="AE73" s="33"/>
      <c r="AF73" s="33"/>
      <c r="AH73" s="129"/>
      <c r="AI73" s="129"/>
      <c r="AJ73" s="129"/>
      <c r="AK73" s="129"/>
    </row>
    <row r="74" spans="1:37" x14ac:dyDescent="0.35">
      <c r="A74" s="33"/>
      <c r="B74" s="130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 t="str">
        <f>Costs!B138</f>
        <v>Aluminium</v>
      </c>
      <c r="Y74" s="33"/>
      <c r="Z74" s="33"/>
      <c r="AA74" s="33"/>
      <c r="AB74" s="33"/>
      <c r="AC74" s="33"/>
      <c r="AD74" s="33"/>
      <c r="AE74" s="33"/>
      <c r="AF74" s="33"/>
      <c r="AH74" s="129"/>
      <c r="AI74" s="129"/>
      <c r="AJ74" s="129"/>
      <c r="AK74" s="129"/>
    </row>
    <row r="75" spans="1:37" x14ac:dyDescent="0.3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 t="str">
        <f>Costs!B139</f>
        <v>Lead</v>
      </c>
      <c r="Y75" s="33"/>
      <c r="Z75" s="33"/>
      <c r="AA75" s="33"/>
      <c r="AB75" s="33"/>
      <c r="AC75" s="33"/>
      <c r="AD75" s="33"/>
      <c r="AE75" s="33"/>
      <c r="AF75" s="33"/>
    </row>
    <row r="76" spans="1:37" x14ac:dyDescent="0.35">
      <c r="X76" s="33" t="str">
        <f>Costs!B140</f>
        <v>Iron and steel</v>
      </c>
    </row>
    <row r="77" spans="1:37" x14ac:dyDescent="0.35">
      <c r="X77" s="33" t="str">
        <f>Costs!B141</f>
        <v>Tin</v>
      </c>
    </row>
    <row r="78" spans="1:37" x14ac:dyDescent="0.35">
      <c r="X78" s="33" t="str">
        <f>Costs!B142</f>
        <v>Mixed metals</v>
      </c>
    </row>
    <row r="79" spans="1:37" x14ac:dyDescent="0.35">
      <c r="X79" s="33" t="str">
        <f>Costs!B143</f>
        <v>Cables</v>
      </c>
    </row>
    <row r="80" spans="1:37" x14ac:dyDescent="0.35">
      <c r="X80" s="33" t="str">
        <f>Costs!B144</f>
        <v>Inert soil and stones</v>
      </c>
    </row>
    <row r="81" spans="24:24" x14ac:dyDescent="0.35">
      <c r="X81" s="33" t="str">
        <f>Costs!B145</f>
        <v>Dredging spoil</v>
      </c>
    </row>
    <row r="82" spans="24:24" x14ac:dyDescent="0.35">
      <c r="X82" s="33" t="str">
        <f>Costs!B146</f>
        <v>Gypsum materials</v>
      </c>
    </row>
    <row r="83" spans="24:24" x14ac:dyDescent="0.35">
      <c r="X83" s="33" t="str">
        <f>Costs!B147</f>
        <v>Paints and varnishes</v>
      </c>
    </row>
    <row r="84" spans="24:24" x14ac:dyDescent="0.35">
      <c r="X84" s="129"/>
    </row>
    <row r="85" spans="24:24" x14ac:dyDescent="0.35">
      <c r="X85" s="129"/>
    </row>
    <row r="86" spans="24:24" x14ac:dyDescent="0.35">
      <c r="X86" s="129"/>
    </row>
    <row r="87" spans="24:24" x14ac:dyDescent="0.35">
      <c r="X87" s="129" t="s">
        <v>304</v>
      </c>
    </row>
    <row r="88" spans="24:24" x14ac:dyDescent="0.35">
      <c r="X88" s="129"/>
    </row>
  </sheetData>
  <sheetProtection sheet="1" objects="1" scenarios="1" formatCells="0" selectLockedCells="1" sort="0" autoFilter="0"/>
  <sortState xmlns:xlrd2="http://schemas.microsoft.com/office/spreadsheetml/2017/richdata2" ref="Y2:Y5">
    <sortCondition ref="Y2"/>
  </sortState>
  <hyperlinks>
    <hyperlink ref="N20" r:id="rId1" xr:uid="{00000000-0004-0000-0800-000000000000}"/>
    <hyperlink ref="N19" r:id="rId2" xr:uid="{00000000-0004-0000-0800-00000100000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4D0A48AA2C3488114A1858735200D" ma:contentTypeVersion="16" ma:contentTypeDescription="Create a new document." ma:contentTypeScope="" ma:versionID="893af8d8c83a7c1c2e1119d01d9d9eeb">
  <xsd:schema xmlns:xsd="http://www.w3.org/2001/XMLSchema" xmlns:xs="http://www.w3.org/2001/XMLSchema" xmlns:p="http://schemas.microsoft.com/office/2006/metadata/properties" xmlns:ns2="440ec9d8-557e-4c2c-9a17-4e23f915633d" xmlns:ns3="531ebf47-7274-4724-b017-45799d4aaf8d" targetNamespace="http://schemas.microsoft.com/office/2006/metadata/properties" ma:root="true" ma:fieldsID="e04b12b164b36a7b3e398f614bcc1119" ns2:_="" ns3:_="">
    <xsd:import namespace="440ec9d8-557e-4c2c-9a17-4e23f915633d"/>
    <xsd:import namespace="531ebf47-7274-4724-b017-45799d4aaf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ec9d8-557e-4c2c-9a17-4e23f915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19da06-8328-48d8-9e4c-d7fdac2f20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ebf47-7274-4724-b017-45799d4aa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53380a-b198-4027-bb3a-6b3888d1f159}" ma:internalName="TaxCatchAll" ma:showField="CatchAllData" ma:web="531ebf47-7274-4724-b017-45799d4aaf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ec9d8-557e-4c2c-9a17-4e23f915633d">
      <Terms xmlns="http://schemas.microsoft.com/office/infopath/2007/PartnerControls"/>
    </lcf76f155ced4ddcb4097134ff3c332f>
    <TaxCatchAll xmlns="531ebf47-7274-4724-b017-45799d4aaf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D5E2CD-4239-4F8E-8E2A-2ECD1A9A5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ec9d8-557e-4c2c-9a17-4e23f915633d"/>
    <ds:schemaRef ds:uri="531ebf47-7274-4724-b017-45799d4aaf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38739-3C4B-44AB-B4A7-1374850F5197}">
  <ds:schemaRefs>
    <ds:schemaRef ds:uri="http://schemas.microsoft.com/office/2006/metadata/properties"/>
    <ds:schemaRef ds:uri="http://schemas.microsoft.com/office/infopath/2007/PartnerControls"/>
    <ds:schemaRef ds:uri="440ec9d8-557e-4c2c-9a17-4e23f915633d"/>
    <ds:schemaRef ds:uri="531ebf47-7274-4724-b017-45799d4aaf8d"/>
  </ds:schemaRefs>
</ds:datastoreItem>
</file>

<file path=customXml/itemProps3.xml><?xml version="1.0" encoding="utf-8"?>
<ds:datastoreItem xmlns:ds="http://schemas.openxmlformats.org/officeDocument/2006/customXml" ds:itemID="{AEBAAB9F-4E5D-4BF3-9738-4D19479FE6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37</vt:i4>
      </vt:variant>
    </vt:vector>
  </HeadingPairs>
  <TitlesOfParts>
    <vt:vector size="48" baseType="lpstr">
      <vt:lpstr>Set up</vt:lpstr>
      <vt:lpstr>Data input</vt:lpstr>
      <vt:lpstr>Dashboard Costs</vt:lpstr>
      <vt:lpstr>Dash Volume</vt:lpstr>
      <vt:lpstr>Dash Weight</vt:lpstr>
      <vt:lpstr>Dash Source</vt:lpstr>
      <vt:lpstr>Dash Condition</vt:lpstr>
      <vt:lpstr>Report</vt:lpstr>
      <vt:lpstr>Lists</vt:lpstr>
      <vt:lpstr>Costs</vt:lpstr>
      <vt:lpstr>Calcs</vt:lpstr>
      <vt:lpstr>Aluminium</vt:lpstr>
      <vt:lpstr>Bituminous_mixtures_containing_coal_tar</vt:lpstr>
      <vt:lpstr>Bricks</vt:lpstr>
      <vt:lpstr>Cables</vt:lpstr>
      <vt:lpstr>Coal_tar_and_tarred_products</vt:lpstr>
      <vt:lpstr>Concrete</vt:lpstr>
      <vt:lpstr>Concrete_bricks_tiles_and_ceramics_in_mixtures</vt:lpstr>
      <vt:lpstr>Copper_bronze_and_brass</vt:lpstr>
      <vt:lpstr>Dredging_spoil</vt:lpstr>
      <vt:lpstr>Glass_uncontaminated</vt:lpstr>
      <vt:lpstr>Gypsum_materials</vt:lpstr>
      <vt:lpstr>Inert_soil_and_stones</vt:lpstr>
      <vt:lpstr>Insulation</vt:lpstr>
      <vt:lpstr>Iron_and_steel</vt:lpstr>
      <vt:lpstr>Lead</vt:lpstr>
      <vt:lpstr>Mixed_construction_and_demolition_wastes</vt:lpstr>
      <vt:lpstr>Mixed_metals</vt:lpstr>
      <vt:lpstr>Other_bituminous_mixtures</vt:lpstr>
      <vt:lpstr>Other_Each</vt:lpstr>
      <vt:lpstr>Other_Linear_meter</vt:lpstr>
      <vt:lpstr>Other_Square_meter</vt:lpstr>
      <vt:lpstr>Other_Volume_cubic_meter</vt:lpstr>
      <vt:lpstr>Packaging_Glass</vt:lpstr>
      <vt:lpstr>Packaging_Metal</vt:lpstr>
      <vt:lpstr>Packaging_Paint_cans_Metal_Plastic</vt:lpstr>
      <vt:lpstr>Packaging_Paper_and_Card</vt:lpstr>
      <vt:lpstr>Packaging_Plastic</vt:lpstr>
      <vt:lpstr>Packaging_Textiles</vt:lpstr>
      <vt:lpstr>Packaging_wooden</vt:lpstr>
      <vt:lpstr>Paints_and_varnishes_Containing_organic_solvents_or_other_hazardous_substances</vt:lpstr>
      <vt:lpstr>Paints_and_varnishes_Not_containing_organic_solvents_or_other_hazardous_substances</vt:lpstr>
      <vt:lpstr>Plastic_excluding_packaging_waste</vt:lpstr>
      <vt:lpstr>Tiles_and_ceramics</vt:lpstr>
      <vt:lpstr>Tin</vt:lpstr>
      <vt:lpstr>Treated_wood_glass_plastic_including_wood_plastic_window_frames</vt:lpstr>
      <vt:lpstr>Unused_or_unset_cement</vt:lpstr>
      <vt:lpstr>Wood_untreated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Hare, Billy</dc:creator>
  <cp:keywords/>
  <dc:description/>
  <cp:lastModifiedBy>Emma Fraser</cp:lastModifiedBy>
  <cp:revision/>
  <dcterms:created xsi:type="dcterms:W3CDTF">2022-03-17T10:26:15Z</dcterms:created>
  <dcterms:modified xsi:type="dcterms:W3CDTF">2023-04-19T16:02:36Z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0x0101008074D0A48AA2C3488114A1858735200D</vt:lpwstr>
  </property>
  <property fmtid="{D5CDD505-2E9C-101B-9397-08002B2CF9AE}" pid="3" name="MediaServiceImageTags">
    <vt:lpwstr/>
  </property>
</Properties>
</file>